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20" yWindow="405" windowWidth="12120" windowHeight="7740" tabRatio="898" activeTab="19"/>
  </bookViews>
  <sheets>
    <sheet name="1997" sheetId="1" r:id="rId1"/>
    <sheet name="1998" sheetId="21" r:id="rId2"/>
    <sheet name="1999" sheetId="25" r:id="rId3"/>
    <sheet name="2000" sheetId="26" r:id="rId4"/>
    <sheet name="2001" sheetId="27" r:id="rId5"/>
    <sheet name="2002" sheetId="28" r:id="rId6"/>
    <sheet name="2003" sheetId="29" r:id="rId7"/>
    <sheet name="2004" sheetId="37" r:id="rId8"/>
    <sheet name="2005" sheetId="36" r:id="rId9"/>
    <sheet name="2006" sheetId="35" r:id="rId10"/>
    <sheet name="2007" sheetId="34" r:id="rId11"/>
    <sheet name="2008" sheetId="33" r:id="rId12"/>
    <sheet name="2009" sheetId="32" r:id="rId13"/>
    <sheet name="2010" sheetId="30" r:id="rId14"/>
    <sheet name="2011" sheetId="31" r:id="rId15"/>
    <sheet name="2012" sheetId="40" r:id="rId16"/>
    <sheet name="2013" sheetId="41" r:id="rId17"/>
    <sheet name="2014" sheetId="46" r:id="rId18"/>
    <sheet name="2015" sheetId="45" r:id="rId19"/>
    <sheet name="2016" sheetId="47" r:id="rId20"/>
  </sheets>
  <definedNames>
    <definedName name="_xlnm.Print_Titles" localSheetId="0">'1997'!$4:$5</definedName>
    <definedName name="_xlnm.Print_Titles" localSheetId="1">'1998'!$4:$5</definedName>
    <definedName name="_xlnm.Print_Titles" localSheetId="2">'1999'!$4:$5</definedName>
    <definedName name="_xlnm.Print_Titles" localSheetId="3">'2000'!$4:$5</definedName>
    <definedName name="_xlnm.Print_Titles" localSheetId="4">'2001'!$4:$5</definedName>
    <definedName name="_xlnm.Print_Titles" localSheetId="5">'2002'!$4:$5</definedName>
    <definedName name="_xlnm.Print_Titles" localSheetId="6">'2003'!$4:$5</definedName>
    <definedName name="_xlnm.Print_Titles" localSheetId="7">'2004'!$4:$5</definedName>
    <definedName name="_xlnm.Print_Titles" localSheetId="8">'2005'!$4:$5</definedName>
    <definedName name="_xlnm.Print_Titles" localSheetId="9">'2006'!$4:$5</definedName>
    <definedName name="_xlnm.Print_Titles" localSheetId="10">'2007'!$4:$5</definedName>
    <definedName name="_xlnm.Print_Titles" localSheetId="11">'2008'!$4:$5</definedName>
    <definedName name="_xlnm.Print_Titles" localSheetId="12">'2009'!$4:$5</definedName>
    <definedName name="_xlnm.Print_Titles" localSheetId="13">'2010'!$4:$5</definedName>
    <definedName name="_xlnm.Print_Titles" localSheetId="14">'2011'!$4:$5</definedName>
  </definedNames>
  <calcPr calcId="145621"/>
</workbook>
</file>

<file path=xl/calcChain.xml><?xml version="1.0" encoding="utf-8"?>
<calcChain xmlns="http://schemas.openxmlformats.org/spreadsheetml/2006/main">
  <c r="S20" i="47" l="1"/>
  <c r="O20" i="47"/>
  <c r="L20" i="47"/>
  <c r="J20" i="47"/>
  <c r="R19" i="47"/>
  <c r="K19" i="47"/>
  <c r="N19" i="47" s="1"/>
  <c r="T19" i="47" s="1"/>
  <c r="R18" i="47"/>
  <c r="N18" i="47"/>
  <c r="T18" i="47" s="1"/>
  <c r="K18" i="47"/>
  <c r="R16" i="47"/>
  <c r="K16" i="47"/>
  <c r="S15" i="47"/>
  <c r="O15" i="47"/>
  <c r="M15" i="47"/>
  <c r="M17" i="47" s="1"/>
  <c r="M20" i="47" s="1"/>
  <c r="L15" i="47"/>
  <c r="J15" i="47"/>
  <c r="I15" i="47"/>
  <c r="I17" i="47" s="1"/>
  <c r="I20" i="47" s="1"/>
  <c r="H15" i="47"/>
  <c r="H17" i="47" s="1"/>
  <c r="H20" i="47" s="1"/>
  <c r="G15" i="47"/>
  <c r="G17" i="47" s="1"/>
  <c r="E15" i="47"/>
  <c r="E17" i="47" s="1"/>
  <c r="T14" i="47"/>
  <c r="Q13" i="47"/>
  <c r="Q15" i="47" s="1"/>
  <c r="Q17" i="47" s="1"/>
  <c r="Q20" i="47" s="1"/>
  <c r="P13" i="47"/>
  <c r="P15" i="47" s="1"/>
  <c r="P17" i="47" s="1"/>
  <c r="P20" i="47" s="1"/>
  <c r="R12" i="47"/>
  <c r="K12" i="47"/>
  <c r="R11" i="47"/>
  <c r="N11" i="47"/>
  <c r="K11" i="47"/>
  <c r="T11" i="47" s="1"/>
  <c r="R10" i="47"/>
  <c r="K10" i="47"/>
  <c r="T10" i="47" s="1"/>
  <c r="D10" i="47"/>
  <c r="R9" i="47"/>
  <c r="K9" i="47"/>
  <c r="R8" i="47"/>
  <c r="K8" i="47"/>
  <c r="T8" i="47" s="1"/>
  <c r="R7" i="47"/>
  <c r="K7" i="47"/>
  <c r="T7" i="47" s="1"/>
  <c r="R6" i="47"/>
  <c r="K6" i="47"/>
  <c r="T6" i="47" s="1"/>
  <c r="D6" i="47"/>
  <c r="D17" i="47" s="1"/>
  <c r="D20" i="47" s="1"/>
  <c r="E26" i="47"/>
  <c r="S24" i="45"/>
  <c r="O24" i="45"/>
  <c r="L24" i="45"/>
  <c r="J24" i="45"/>
  <c r="R23" i="45"/>
  <c r="N23" i="45"/>
  <c r="T23" i="45" s="1"/>
  <c r="K23" i="45"/>
  <c r="Q22" i="45"/>
  <c r="R22" i="45" s="1"/>
  <c r="K22" i="45"/>
  <c r="N22" i="45" s="1"/>
  <c r="R20" i="45"/>
  <c r="K20" i="45"/>
  <c r="T20" i="45" s="1"/>
  <c r="T12" i="47" l="1"/>
  <c r="T16" i="47"/>
  <c r="T9" i="47"/>
  <c r="N10" i="47"/>
  <c r="N16" i="47"/>
  <c r="E20" i="47"/>
  <c r="K17" i="47"/>
  <c r="K20" i="47" s="1"/>
  <c r="G20" i="47"/>
  <c r="N12" i="47"/>
  <c r="D15" i="47"/>
  <c r="K15" i="47"/>
  <c r="N6" i="47"/>
  <c r="N7" i="47"/>
  <c r="N8" i="47"/>
  <c r="N9" i="47"/>
  <c r="R13" i="47"/>
  <c r="T13" i="47" s="1"/>
  <c r="T22" i="45"/>
  <c r="N20" i="45"/>
  <c r="T15" i="47" l="1"/>
  <c r="T17" i="47" s="1"/>
  <c r="T20" i="47" s="1"/>
  <c r="N15" i="47"/>
  <c r="R15" i="47"/>
  <c r="R17" i="47" s="1"/>
  <c r="R20" i="47" s="1"/>
  <c r="N17" i="47"/>
  <c r="N20" i="47" s="1"/>
  <c r="Q15" i="45" l="1"/>
  <c r="P15" i="45"/>
  <c r="D30" i="46" l="1"/>
  <c r="Q23" i="46"/>
  <c r="M23" i="46"/>
  <c r="S23" i="46" s="1"/>
  <c r="J23" i="46"/>
  <c r="S21" i="46"/>
  <c r="Q21" i="46"/>
  <c r="M21" i="46"/>
  <c r="J21" i="46"/>
  <c r="S20" i="46"/>
  <c r="Q20" i="46"/>
  <c r="M20" i="46"/>
  <c r="J20" i="46"/>
  <c r="R19" i="46"/>
  <c r="P19" i="46"/>
  <c r="P22" i="46" s="1"/>
  <c r="P24" i="46" s="1"/>
  <c r="O19" i="46"/>
  <c r="O22" i="46" s="1"/>
  <c r="O24" i="46" s="1"/>
  <c r="N19" i="46"/>
  <c r="K19" i="46"/>
  <c r="I19" i="46"/>
  <c r="Q18" i="46"/>
  <c r="J18" i="46"/>
  <c r="Q17" i="46"/>
  <c r="J17" i="46"/>
  <c r="S17" i="46" s="1"/>
  <c r="S16" i="46"/>
  <c r="S15" i="46"/>
  <c r="S14" i="46"/>
  <c r="S13" i="46"/>
  <c r="Q13" i="46"/>
  <c r="S12" i="46"/>
  <c r="Q12" i="46"/>
  <c r="M12" i="46"/>
  <c r="J12" i="46"/>
  <c r="S11" i="46"/>
  <c r="Q11" i="46"/>
  <c r="M11" i="46"/>
  <c r="J11" i="46"/>
  <c r="Q10" i="46"/>
  <c r="J10" i="46"/>
  <c r="Q9" i="46"/>
  <c r="J9" i="46"/>
  <c r="S9" i="46" s="1"/>
  <c r="Q8" i="46"/>
  <c r="J8" i="46"/>
  <c r="S8" i="46" s="1"/>
  <c r="Q7" i="46"/>
  <c r="J7" i="46"/>
  <c r="S7" i="46" s="1"/>
  <c r="Q6" i="46"/>
  <c r="Q19" i="46" s="1"/>
  <c r="Q22" i="46" s="1"/>
  <c r="Q24" i="46" s="1"/>
  <c r="L6" i="46"/>
  <c r="L19" i="46" s="1"/>
  <c r="L22" i="46" s="1"/>
  <c r="L24" i="46" s="1"/>
  <c r="H6" i="46"/>
  <c r="H19" i="46" s="1"/>
  <c r="H22" i="46" s="1"/>
  <c r="H24" i="46" s="1"/>
  <c r="G6" i="46"/>
  <c r="G19" i="46" s="1"/>
  <c r="G22" i="46" s="1"/>
  <c r="G24" i="46" s="1"/>
  <c r="F6" i="46"/>
  <c r="F19" i="46" s="1"/>
  <c r="F22" i="46" s="1"/>
  <c r="D6" i="46"/>
  <c r="D19" i="46" s="1"/>
  <c r="D22" i="46" s="1"/>
  <c r="S10" i="46" l="1"/>
  <c r="S18" i="46"/>
  <c r="J22" i="46"/>
  <c r="J24" i="46" s="1"/>
  <c r="F24" i="46"/>
  <c r="D24" i="46"/>
  <c r="M22" i="46"/>
  <c r="M24" i="46" s="1"/>
  <c r="J6" i="46"/>
  <c r="J19" i="46" s="1"/>
  <c r="M6" i="46"/>
  <c r="S6" i="46"/>
  <c r="S19" i="46" s="1"/>
  <c r="S22" i="46" s="1"/>
  <c r="S24" i="46" s="1"/>
  <c r="M7" i="46"/>
  <c r="M8" i="46"/>
  <c r="M9" i="46"/>
  <c r="M10" i="46"/>
  <c r="M17" i="46"/>
  <c r="M18" i="46"/>
  <c r="S19" i="45"/>
  <c r="O19" i="45"/>
  <c r="M19" i="45"/>
  <c r="M21" i="45" s="1"/>
  <c r="M24" i="45" s="1"/>
  <c r="L19" i="45"/>
  <c r="J19" i="45"/>
  <c r="I19" i="45"/>
  <c r="I21" i="45" s="1"/>
  <c r="I24" i="45" s="1"/>
  <c r="H19" i="45"/>
  <c r="H21" i="45" s="1"/>
  <c r="H24" i="45" s="1"/>
  <c r="G19" i="45"/>
  <c r="G21" i="45" s="1"/>
  <c r="E19" i="45"/>
  <c r="E21" i="45" s="1"/>
  <c r="Q19" i="45"/>
  <c r="Q21" i="45" s="1"/>
  <c r="Q24" i="45" s="1"/>
  <c r="P19" i="45"/>
  <c r="P21" i="45" s="1"/>
  <c r="P24" i="45" s="1"/>
  <c r="E33" i="45"/>
  <c r="E24" i="45" l="1"/>
  <c r="G24" i="45"/>
  <c r="K21" i="45"/>
  <c r="K24" i="45" s="1"/>
  <c r="M19" i="46"/>
  <c r="T18" i="45"/>
  <c r="T17" i="45"/>
  <c r="R15" i="45"/>
  <c r="T15" i="45" s="1"/>
  <c r="R14" i="45"/>
  <c r="K14" i="45"/>
  <c r="R13" i="45"/>
  <c r="K13" i="45"/>
  <c r="R12" i="45"/>
  <c r="K12" i="45"/>
  <c r="R11" i="45"/>
  <c r="K11" i="45"/>
  <c r="R10" i="45"/>
  <c r="K10" i="45"/>
  <c r="R9" i="45"/>
  <c r="K9" i="45"/>
  <c r="R8" i="45"/>
  <c r="K8" i="45"/>
  <c r="R7" i="45"/>
  <c r="K7" i="45"/>
  <c r="R6" i="45"/>
  <c r="K6" i="45"/>
  <c r="K19" i="45" s="1"/>
  <c r="N21" i="45" l="1"/>
  <c r="N24" i="45" s="1"/>
  <c r="R19" i="45"/>
  <c r="T6" i="45"/>
  <c r="T7" i="45"/>
  <c r="T8" i="45"/>
  <c r="T9" i="45"/>
  <c r="T10" i="45"/>
  <c r="T11" i="45"/>
  <c r="T12" i="45"/>
  <c r="T13" i="45"/>
  <c r="T14" i="45"/>
  <c r="N6" i="45"/>
  <c r="N7" i="45"/>
  <c r="N8" i="45"/>
  <c r="N9" i="45"/>
  <c r="N10" i="45"/>
  <c r="N11" i="45"/>
  <c r="N12" i="45"/>
  <c r="N13" i="45"/>
  <c r="N14" i="45"/>
  <c r="R21" i="45" l="1"/>
  <c r="R24" i="45" s="1"/>
  <c r="N19" i="45"/>
  <c r="T19" i="45"/>
  <c r="T21" i="45" l="1"/>
  <c r="T24" i="45" s="1"/>
  <c r="Q18" i="41"/>
  <c r="J18" i="41"/>
  <c r="M18" i="41" s="1"/>
  <c r="S18" i="41" s="1"/>
  <c r="Q16" i="41"/>
  <c r="J16" i="41"/>
  <c r="Q15" i="41"/>
  <c r="J15" i="41"/>
  <c r="S15" i="41" s="1"/>
  <c r="P14" i="41"/>
  <c r="P17" i="41" s="1"/>
  <c r="P19" i="41" s="1"/>
  <c r="O14" i="41"/>
  <c r="O17" i="41" s="1"/>
  <c r="O19" i="41" s="1"/>
  <c r="L14" i="41"/>
  <c r="L17" i="41" s="1"/>
  <c r="L19" i="41" s="1"/>
  <c r="H14" i="41"/>
  <c r="H17" i="41" s="1"/>
  <c r="H19" i="41" s="1"/>
  <c r="G14" i="41"/>
  <c r="G17" i="41" s="1"/>
  <c r="G19" i="41" s="1"/>
  <c r="F14" i="41"/>
  <c r="F17" i="41" s="1"/>
  <c r="D14" i="41"/>
  <c r="D17" i="41" s="1"/>
  <c r="Q13" i="41"/>
  <c r="J13" i="41"/>
  <c r="S13" i="41" s="1"/>
  <c r="Q12" i="41"/>
  <c r="J12" i="41"/>
  <c r="S12" i="41" s="1"/>
  <c r="Q11" i="41"/>
  <c r="M11" i="41"/>
  <c r="J11" i="41"/>
  <c r="S11" i="41" s="1"/>
  <c r="Q10" i="41"/>
  <c r="J10" i="41"/>
  <c r="S10" i="41" s="1"/>
  <c r="Q9" i="41"/>
  <c r="J9" i="41"/>
  <c r="S9" i="41" s="1"/>
  <c r="Q8" i="41"/>
  <c r="J8" i="41"/>
  <c r="S8" i="41" s="1"/>
  <c r="Q7" i="41"/>
  <c r="J7" i="41"/>
  <c r="S7" i="41" s="1"/>
  <c r="Q6" i="41"/>
  <c r="Q14" i="41" s="1"/>
  <c r="Q17" i="41" s="1"/>
  <c r="Q19" i="41" s="1"/>
  <c r="J6" i="41"/>
  <c r="S6" i="41" s="1"/>
  <c r="M6" i="41" l="1"/>
  <c r="M7" i="41"/>
  <c r="M8" i="41"/>
  <c r="M9" i="41"/>
  <c r="M10" i="41"/>
  <c r="S16" i="41"/>
  <c r="S14" i="41"/>
  <c r="S17" i="41" s="1"/>
  <c r="S19" i="41" s="1"/>
  <c r="J17" i="41"/>
  <c r="J19" i="41" s="1"/>
  <c r="F19" i="41"/>
  <c r="D19" i="41"/>
  <c r="J14" i="41"/>
  <c r="M14" i="41" s="1"/>
  <c r="M15" i="41"/>
  <c r="M16" i="41"/>
  <c r="M12" i="41"/>
  <c r="M13" i="41"/>
  <c r="M17" i="41" l="1"/>
  <c r="M19" i="41" s="1"/>
  <c r="D18" i="40" l="1"/>
  <c r="F18" i="40"/>
  <c r="J15" i="33"/>
  <c r="Q18" i="40" l="1"/>
  <c r="G18" i="40"/>
  <c r="Q16" i="40"/>
  <c r="J16" i="40"/>
  <c r="S16" i="40" s="1"/>
  <c r="Q15" i="40"/>
  <c r="J15" i="40"/>
  <c r="S15" i="40" s="1"/>
  <c r="Q14" i="40"/>
  <c r="M14" i="40"/>
  <c r="J14" i="40"/>
  <c r="S14" i="40" s="1"/>
  <c r="Q13" i="40"/>
  <c r="J13" i="40"/>
  <c r="P12" i="40"/>
  <c r="P17" i="40" s="1"/>
  <c r="P19" i="40" s="1"/>
  <c r="O12" i="40"/>
  <c r="O17" i="40" s="1"/>
  <c r="O19" i="40" s="1"/>
  <c r="L12" i="40"/>
  <c r="L17" i="40" s="1"/>
  <c r="L19" i="40" s="1"/>
  <c r="H12" i="40"/>
  <c r="H17" i="40" s="1"/>
  <c r="H19" i="40" s="1"/>
  <c r="G12" i="40"/>
  <c r="G17" i="40" s="1"/>
  <c r="G19" i="40" s="1"/>
  <c r="F12" i="40"/>
  <c r="F17" i="40" s="1"/>
  <c r="D12" i="40"/>
  <c r="D17" i="40" s="1"/>
  <c r="Q11" i="40"/>
  <c r="J11" i="40"/>
  <c r="S11" i="40" s="1"/>
  <c r="Q10" i="40"/>
  <c r="J10" i="40"/>
  <c r="S10" i="40" s="1"/>
  <c r="Q9" i="40"/>
  <c r="J9" i="40"/>
  <c r="S9" i="40" s="1"/>
  <c r="Q8" i="40"/>
  <c r="J8" i="40"/>
  <c r="S8" i="40" s="1"/>
  <c r="Q7" i="40"/>
  <c r="Q12" i="40" s="1"/>
  <c r="Q17" i="40" s="1"/>
  <c r="Q19" i="40" s="1"/>
  <c r="J7" i="40"/>
  <c r="S7" i="40" s="1"/>
  <c r="S12" i="40" s="1"/>
  <c r="S13" i="40" l="1"/>
  <c r="M13" i="40"/>
  <c r="S17" i="40"/>
  <c r="M15" i="40"/>
  <c r="M16" i="40"/>
  <c r="J18" i="40"/>
  <c r="M18" i="40" s="1"/>
  <c r="S18" i="40" s="1"/>
  <c r="S19" i="40" s="1"/>
  <c r="D19" i="40"/>
  <c r="F19" i="40"/>
  <c r="J17" i="40"/>
  <c r="M7" i="40"/>
  <c r="M8" i="40"/>
  <c r="M9" i="40"/>
  <c r="M10" i="40"/>
  <c r="M11" i="40"/>
  <c r="J12" i="40"/>
  <c r="M12" i="40" s="1"/>
  <c r="J19" i="40" l="1"/>
  <c r="M17" i="40"/>
  <c r="M19" i="40" l="1"/>
  <c r="D26" i="31" l="1"/>
  <c r="D24" i="30"/>
  <c r="D22" i="32"/>
  <c r="D21" i="27"/>
  <c r="D25" i="25"/>
  <c r="D24" i="21"/>
  <c r="H13" i="37"/>
  <c r="Q12" i="37"/>
  <c r="F12" i="37"/>
  <c r="J12" i="37"/>
  <c r="D12" i="37"/>
  <c r="M12" i="37"/>
  <c r="S12" i="37" s="1"/>
  <c r="Q10" i="37"/>
  <c r="F10" i="37"/>
  <c r="J10" i="37" s="1"/>
  <c r="S10" i="37" s="1"/>
  <c r="P9" i="37"/>
  <c r="P11" i="37" s="1"/>
  <c r="P13" i="37" s="1"/>
  <c r="O9" i="37"/>
  <c r="L9" i="37"/>
  <c r="L11" i="37" s="1"/>
  <c r="L13" i="37" s="1"/>
  <c r="G9" i="37"/>
  <c r="G11" i="37"/>
  <c r="G13" i="37" s="1"/>
  <c r="F9" i="37"/>
  <c r="F11" i="37" s="1"/>
  <c r="F13" i="37" s="1"/>
  <c r="D9" i="37"/>
  <c r="D11" i="37"/>
  <c r="Q8" i="37"/>
  <c r="J8" i="37"/>
  <c r="Q7" i="37"/>
  <c r="J7" i="37"/>
  <c r="Q6" i="37"/>
  <c r="J6" i="37"/>
  <c r="J9" i="37" s="1"/>
  <c r="H16" i="36"/>
  <c r="Q15" i="36"/>
  <c r="F15" i="36"/>
  <c r="J15" i="36" s="1"/>
  <c r="D15" i="36"/>
  <c r="Q13" i="36"/>
  <c r="F13" i="36"/>
  <c r="J13" i="36" s="1"/>
  <c r="Q12" i="36"/>
  <c r="J12" i="36"/>
  <c r="S12" i="36"/>
  <c r="Q11" i="36"/>
  <c r="J11" i="36"/>
  <c r="S11" i="36" s="1"/>
  <c r="P10" i="36"/>
  <c r="P14" i="36" s="1"/>
  <c r="P16" i="36" s="1"/>
  <c r="O10" i="36"/>
  <c r="O14" i="36"/>
  <c r="O16" i="36" s="1"/>
  <c r="L10" i="36"/>
  <c r="L14" i="36" s="1"/>
  <c r="L16" i="36" s="1"/>
  <c r="G10" i="36"/>
  <c r="G14" i="36"/>
  <c r="G16" i="36" s="1"/>
  <c r="D10" i="36"/>
  <c r="D14" i="36" s="1"/>
  <c r="D16" i="36" s="1"/>
  <c r="Q9" i="36"/>
  <c r="J9" i="36"/>
  <c r="S9" i="36" s="1"/>
  <c r="Q8" i="36"/>
  <c r="J8" i="36"/>
  <c r="S8" i="36" s="1"/>
  <c r="Q7" i="36"/>
  <c r="F7" i="36"/>
  <c r="J7" i="36" s="1"/>
  <c r="Q6" i="36"/>
  <c r="Q10" i="36" s="1"/>
  <c r="Q14" i="36" s="1"/>
  <c r="Q16" i="36" s="1"/>
  <c r="F6" i="36"/>
  <c r="J6" i="36" s="1"/>
  <c r="J10" i="36" s="1"/>
  <c r="H16" i="35"/>
  <c r="P15" i="35"/>
  <c r="O15" i="35"/>
  <c r="Q15" i="35"/>
  <c r="L15" i="35"/>
  <c r="G15" i="35"/>
  <c r="F15" i="35"/>
  <c r="D15" i="35"/>
  <c r="P13" i="35"/>
  <c r="O13" i="35"/>
  <c r="Q13" i="35" s="1"/>
  <c r="L13" i="35"/>
  <c r="F13" i="35"/>
  <c r="J13" i="35"/>
  <c r="M13" i="35"/>
  <c r="Q12" i="35"/>
  <c r="J12" i="35"/>
  <c r="S12" i="35"/>
  <c r="Q11" i="35"/>
  <c r="J11" i="35"/>
  <c r="S11" i="35" s="1"/>
  <c r="P10" i="35"/>
  <c r="P14" i="35" s="1"/>
  <c r="P16" i="35" s="1"/>
  <c r="O10" i="35"/>
  <c r="O14" i="35"/>
  <c r="O16" i="35" s="1"/>
  <c r="L10" i="35"/>
  <c r="L14" i="35" s="1"/>
  <c r="L16" i="35" s="1"/>
  <c r="G10" i="35"/>
  <c r="G14" i="35"/>
  <c r="G16" i="35" s="1"/>
  <c r="F10" i="35"/>
  <c r="F14" i="35" s="1"/>
  <c r="F16" i="35" s="1"/>
  <c r="D10" i="35"/>
  <c r="D14" i="35"/>
  <c r="D16" i="35" s="1"/>
  <c r="Q9" i="35"/>
  <c r="J9" i="35"/>
  <c r="M9" i="35"/>
  <c r="Q8" i="35"/>
  <c r="J8" i="35"/>
  <c r="Q7" i="35"/>
  <c r="J7" i="35"/>
  <c r="Q6" i="35"/>
  <c r="Q10" i="35"/>
  <c r="Q14" i="35" s="1"/>
  <c r="Q16" i="35" s="1"/>
  <c r="J6" i="35"/>
  <c r="S6" i="35"/>
  <c r="Q14" i="34"/>
  <c r="J14" i="34"/>
  <c r="M14" i="34" s="1"/>
  <c r="S14" i="34" s="1"/>
  <c r="H13" i="34"/>
  <c r="H15" i="34"/>
  <c r="Q12" i="34"/>
  <c r="F12" i="34"/>
  <c r="J12" i="34" s="1"/>
  <c r="S12" i="34" s="1"/>
  <c r="Q11" i="34"/>
  <c r="M11" i="34"/>
  <c r="J11" i="34"/>
  <c r="S11" i="34"/>
  <c r="P10" i="34"/>
  <c r="P13" i="34"/>
  <c r="P15" i="34" s="1"/>
  <c r="O10" i="34"/>
  <c r="O13" i="34" s="1"/>
  <c r="O15" i="34" s="1"/>
  <c r="L10" i="34"/>
  <c r="L13" i="34"/>
  <c r="L15" i="34" s="1"/>
  <c r="G10" i="34"/>
  <c r="G13" i="34" s="1"/>
  <c r="G15" i="34" s="1"/>
  <c r="F10" i="34"/>
  <c r="F13" i="34"/>
  <c r="F15" i="34" s="1"/>
  <c r="Q9" i="34"/>
  <c r="J9" i="34"/>
  <c r="M9" i="34" s="1"/>
  <c r="Q8" i="34"/>
  <c r="J8" i="34"/>
  <c r="S8" i="34"/>
  <c r="Q7" i="34"/>
  <c r="J7" i="34"/>
  <c r="S7" i="34" s="1"/>
  <c r="Q6" i="34"/>
  <c r="Q10" i="34"/>
  <c r="Q13" i="34" s="1"/>
  <c r="Q15" i="34" s="1"/>
  <c r="J6" i="34"/>
  <c r="J10" i="34"/>
  <c r="D6" i="34"/>
  <c r="D10" i="34"/>
  <c r="Q16" i="33"/>
  <c r="J16" i="33"/>
  <c r="M16" i="33"/>
  <c r="S16" i="33" s="1"/>
  <c r="Q14" i="33"/>
  <c r="F14" i="33"/>
  <c r="J14" i="33"/>
  <c r="J13" i="33"/>
  <c r="S13" i="33"/>
  <c r="Q12" i="33"/>
  <c r="J12" i="33"/>
  <c r="Q11" i="33"/>
  <c r="J11" i="33"/>
  <c r="P10" i="33"/>
  <c r="P15" i="33"/>
  <c r="P17" i="33" s="1"/>
  <c r="O10" i="33"/>
  <c r="O15" i="33" s="1"/>
  <c r="O17" i="33" s="1"/>
  <c r="L10" i="33"/>
  <c r="L15" i="33"/>
  <c r="L17" i="33" s="1"/>
  <c r="H10" i="33"/>
  <c r="H15" i="33" s="1"/>
  <c r="H17" i="33" s="1"/>
  <c r="G10" i="33"/>
  <c r="F10" i="33"/>
  <c r="F15" i="33" s="1"/>
  <c r="D10" i="33"/>
  <c r="Q9" i="33"/>
  <c r="J9" i="33"/>
  <c r="Q8" i="33"/>
  <c r="J8" i="33"/>
  <c r="Q7" i="33"/>
  <c r="J7" i="33"/>
  <c r="Q6" i="33"/>
  <c r="Q10" i="33"/>
  <c r="Q15" i="33" s="1"/>
  <c r="Q17" i="33" s="1"/>
  <c r="J6" i="33"/>
  <c r="S6" i="33"/>
  <c r="Q14" i="32"/>
  <c r="J14" i="32"/>
  <c r="M14" i="32" s="1"/>
  <c r="S14" i="32" s="1"/>
  <c r="Q12" i="32"/>
  <c r="J12" i="32"/>
  <c r="S12" i="32" s="1"/>
  <c r="Q11" i="32"/>
  <c r="J11" i="32"/>
  <c r="S11" i="32"/>
  <c r="P10" i="32"/>
  <c r="P13" i="32"/>
  <c r="P15" i="32" s="1"/>
  <c r="O10" i="32"/>
  <c r="O13" i="32" s="1"/>
  <c r="O15" i="32" s="1"/>
  <c r="L10" i="32"/>
  <c r="L13" i="32"/>
  <c r="L15" i="32" s="1"/>
  <c r="H10" i="32"/>
  <c r="H13" i="32" s="1"/>
  <c r="H15" i="32" s="1"/>
  <c r="G10" i="32"/>
  <c r="G13" i="32"/>
  <c r="G15" i="32" s="1"/>
  <c r="F10" i="32"/>
  <c r="F13" i="32" s="1"/>
  <c r="D10" i="32"/>
  <c r="D13" i="32" s="1"/>
  <c r="Q9" i="32"/>
  <c r="J9" i="32"/>
  <c r="S9" i="32" s="1"/>
  <c r="Q8" i="32"/>
  <c r="J8" i="32"/>
  <c r="Q7" i="32"/>
  <c r="S7" i="32"/>
  <c r="J7" i="32"/>
  <c r="Q6" i="32"/>
  <c r="Q10" i="32" s="1"/>
  <c r="Q13" i="32" s="1"/>
  <c r="Q15" i="32" s="1"/>
  <c r="J6" i="32"/>
  <c r="Q18" i="31"/>
  <c r="J18" i="31"/>
  <c r="M18" i="31" s="1"/>
  <c r="S18" i="31" s="1"/>
  <c r="Q16" i="31"/>
  <c r="J16" i="31"/>
  <c r="S16" i="31" s="1"/>
  <c r="Q15" i="31"/>
  <c r="J15" i="31"/>
  <c r="S15" i="31"/>
  <c r="Q14" i="31"/>
  <c r="J14" i="31"/>
  <c r="M14" i="31" s="1"/>
  <c r="Q13" i="31"/>
  <c r="J13" i="31"/>
  <c r="Q12" i="31"/>
  <c r="J12" i="31"/>
  <c r="P11" i="31"/>
  <c r="P17" i="31" s="1"/>
  <c r="P19" i="31" s="1"/>
  <c r="O11" i="31"/>
  <c r="O17" i="31"/>
  <c r="O19" i="31" s="1"/>
  <c r="L11" i="31"/>
  <c r="L17" i="31" s="1"/>
  <c r="L19" i="31" s="1"/>
  <c r="H11" i="31"/>
  <c r="H17" i="31"/>
  <c r="H19" i="31" s="1"/>
  <c r="G11" i="31"/>
  <c r="G17" i="31" s="1"/>
  <c r="G19" i="31" s="1"/>
  <c r="F11" i="31"/>
  <c r="F17" i="31"/>
  <c r="D11" i="31"/>
  <c r="D17" i="31"/>
  <c r="Q10" i="31"/>
  <c r="J10" i="31"/>
  <c r="Q9" i="31"/>
  <c r="J9" i="31"/>
  <c r="S9" i="31" s="1"/>
  <c r="Q8" i="31"/>
  <c r="J8" i="31"/>
  <c r="Q7" i="31"/>
  <c r="J7" i="31"/>
  <c r="S7" i="31"/>
  <c r="Q6" i="31"/>
  <c r="Q11" i="31"/>
  <c r="Q17" i="31" s="1"/>
  <c r="Q19" i="31" s="1"/>
  <c r="J6" i="31"/>
  <c r="S6" i="31"/>
  <c r="Q15" i="30"/>
  <c r="L15" i="30"/>
  <c r="G15" i="30"/>
  <c r="F15" i="30"/>
  <c r="D15" i="30"/>
  <c r="Q13" i="30"/>
  <c r="J13" i="30"/>
  <c r="S13" i="30"/>
  <c r="Q12" i="30"/>
  <c r="J12" i="30"/>
  <c r="M12" i="30" s="1"/>
  <c r="Q11" i="30"/>
  <c r="J11" i="30"/>
  <c r="S11" i="30"/>
  <c r="P10" i="30"/>
  <c r="P14" i="30"/>
  <c r="P16" i="30" s="1"/>
  <c r="O10" i="30"/>
  <c r="O14" i="30" s="1"/>
  <c r="O16" i="30" s="1"/>
  <c r="L10" i="30"/>
  <c r="L14" i="30"/>
  <c r="L16" i="30" s="1"/>
  <c r="H10" i="30"/>
  <c r="H14" i="30" s="1"/>
  <c r="H16" i="30" s="1"/>
  <c r="G10" i="30"/>
  <c r="F10" i="30"/>
  <c r="D10" i="30"/>
  <c r="Q9" i="30"/>
  <c r="J9" i="30"/>
  <c r="S9" i="30"/>
  <c r="Q8" i="30"/>
  <c r="J8" i="30"/>
  <c r="Q7" i="30"/>
  <c r="J7" i="30"/>
  <c r="Q6" i="30"/>
  <c r="Q10" i="30"/>
  <c r="Q14" i="30" s="1"/>
  <c r="Q16" i="30" s="1"/>
  <c r="J6" i="30"/>
  <c r="S6" i="30"/>
  <c r="H13" i="29"/>
  <c r="Q12" i="29"/>
  <c r="G12" i="29"/>
  <c r="F12" i="29"/>
  <c r="D12" i="29"/>
  <c r="Q10" i="29"/>
  <c r="J10" i="29"/>
  <c r="P9" i="29"/>
  <c r="P11" i="29" s="1"/>
  <c r="P13" i="29" s="1"/>
  <c r="O9" i="29"/>
  <c r="O11" i="29"/>
  <c r="O13" i="29" s="1"/>
  <c r="L9" i="29"/>
  <c r="L11" i="29" s="1"/>
  <c r="L13" i="29" s="1"/>
  <c r="G9" i="29"/>
  <c r="G11" i="29"/>
  <c r="G13" i="29" s="1"/>
  <c r="F9" i="29"/>
  <c r="F11" i="29"/>
  <c r="D9" i="29"/>
  <c r="D11" i="29"/>
  <c r="Q8" i="29"/>
  <c r="J8" i="29"/>
  <c r="Q7" i="29"/>
  <c r="J7" i="29"/>
  <c r="Q6" i="29"/>
  <c r="Q9" i="29"/>
  <c r="Q11" i="29" s="1"/>
  <c r="Q13" i="29" s="1"/>
  <c r="J6" i="29"/>
  <c r="H13" i="28"/>
  <c r="Q12" i="28"/>
  <c r="G12" i="28"/>
  <c r="F12" i="28"/>
  <c r="D12" i="28"/>
  <c r="Q10" i="28"/>
  <c r="F10" i="28"/>
  <c r="J10" i="28" s="1"/>
  <c r="S10" i="28" s="1"/>
  <c r="P9" i="28"/>
  <c r="P11" i="28" s="1"/>
  <c r="P13" i="28" s="1"/>
  <c r="O9" i="28"/>
  <c r="O11" i="28"/>
  <c r="O13" i="28" s="1"/>
  <c r="L9" i="28"/>
  <c r="L11" i="28"/>
  <c r="L13" i="28" s="1"/>
  <c r="G9" i="28"/>
  <c r="G11" i="28"/>
  <c r="G13" i="28" s="1"/>
  <c r="F9" i="28"/>
  <c r="F11" i="28" s="1"/>
  <c r="F13" i="28" s="1"/>
  <c r="D9" i="28"/>
  <c r="D11" i="28" s="1"/>
  <c r="S8" i="28"/>
  <c r="Q8" i="28"/>
  <c r="M8" i="28"/>
  <c r="J8" i="28"/>
  <c r="S7" i="28"/>
  <c r="Q7" i="28"/>
  <c r="M7" i="28"/>
  <c r="J7" i="28"/>
  <c r="Q6" i="28"/>
  <c r="Q9" i="28"/>
  <c r="Q11" i="28" s="1"/>
  <c r="Q13" i="28" s="1"/>
  <c r="J6" i="28"/>
  <c r="S6" i="28" s="1"/>
  <c r="S9" i="28" s="1"/>
  <c r="S11" i="28" s="1"/>
  <c r="H14" i="27"/>
  <c r="P13" i="27"/>
  <c r="O13" i="27"/>
  <c r="Q13" i="27" s="1"/>
  <c r="L13" i="27"/>
  <c r="G13" i="27"/>
  <c r="F13" i="27"/>
  <c r="D13" i="27"/>
  <c r="Q11" i="27"/>
  <c r="F11" i="27"/>
  <c r="J11" i="27"/>
  <c r="P10" i="27"/>
  <c r="P12" i="27"/>
  <c r="P14" i="27" s="1"/>
  <c r="O10" i="27"/>
  <c r="O12" i="27" s="1"/>
  <c r="O14" i="27" s="1"/>
  <c r="G10" i="27"/>
  <c r="G12" i="27"/>
  <c r="G14" i="27" s="1"/>
  <c r="F10" i="27"/>
  <c r="F12" i="27" s="1"/>
  <c r="F14" i="27" s="1"/>
  <c r="Q9" i="27"/>
  <c r="J9" i="27"/>
  <c r="S9" i="27"/>
  <c r="Q8" i="27"/>
  <c r="J8" i="27"/>
  <c r="D8" i="27"/>
  <c r="S8" i="27" s="1"/>
  <c r="Q7" i="27"/>
  <c r="L7" i="27"/>
  <c r="L10" i="27"/>
  <c r="L12" i="27" s="1"/>
  <c r="L14" i="27" s="1"/>
  <c r="J7" i="27"/>
  <c r="D7" i="27"/>
  <c r="S7" i="27" s="1"/>
  <c r="Q6" i="27"/>
  <c r="Q10" i="27" s="1"/>
  <c r="Q12" i="27" s="1"/>
  <c r="J6" i="27"/>
  <c r="J10" i="27" s="1"/>
  <c r="J12" i="27" s="1"/>
  <c r="D6" i="27"/>
  <c r="H14" i="26"/>
  <c r="P13" i="26"/>
  <c r="O13" i="26"/>
  <c r="Q13" i="26" s="1"/>
  <c r="L13" i="26"/>
  <c r="G13" i="26"/>
  <c r="F13" i="26"/>
  <c r="Q11" i="26"/>
  <c r="J11" i="26"/>
  <c r="S11" i="26"/>
  <c r="Q10" i="26"/>
  <c r="J10" i="26"/>
  <c r="S10" i="26"/>
  <c r="Q9" i="26"/>
  <c r="J9" i="26"/>
  <c r="S9" i="26" s="1"/>
  <c r="P8" i="26"/>
  <c r="P12" i="26" s="1"/>
  <c r="P14" i="26" s="1"/>
  <c r="O8" i="26"/>
  <c r="O12" i="26"/>
  <c r="O14" i="26" s="1"/>
  <c r="L8" i="26"/>
  <c r="L12" i="26"/>
  <c r="L14" i="26" s="1"/>
  <c r="G8" i="26"/>
  <c r="G12" i="26" s="1"/>
  <c r="G14" i="26" s="1"/>
  <c r="F8" i="26"/>
  <c r="F12" i="26"/>
  <c r="F14" i="26" s="1"/>
  <c r="D8" i="26"/>
  <c r="D12" i="26" s="1"/>
  <c r="Q7" i="26"/>
  <c r="J7" i="26"/>
  <c r="Q6" i="26"/>
  <c r="Q8" i="26" s="1"/>
  <c r="Q12" i="26" s="1"/>
  <c r="Q14" i="26" s="1"/>
  <c r="J6" i="26"/>
  <c r="J8" i="26" s="1"/>
  <c r="H15" i="25"/>
  <c r="P14" i="25"/>
  <c r="Q14" i="25" s="1"/>
  <c r="G14" i="25"/>
  <c r="F14" i="25"/>
  <c r="J14" i="25"/>
  <c r="Q12" i="25"/>
  <c r="J12" i="25"/>
  <c r="S12" i="25" s="1"/>
  <c r="Q11" i="25"/>
  <c r="J11" i="25"/>
  <c r="S11" i="25"/>
  <c r="P10" i="25"/>
  <c r="P13" i="25"/>
  <c r="P15" i="25" s="1"/>
  <c r="O10" i="25"/>
  <c r="O13" i="25" s="1"/>
  <c r="O15" i="25" s="1"/>
  <c r="L10" i="25"/>
  <c r="L13" i="25"/>
  <c r="L15" i="25" s="1"/>
  <c r="G10" i="25"/>
  <c r="G13" i="25" s="1"/>
  <c r="G15" i="25" s="1"/>
  <c r="F10" i="25"/>
  <c r="F13" i="25"/>
  <c r="F15" i="25" s="1"/>
  <c r="D10" i="25"/>
  <c r="D13" i="25" s="1"/>
  <c r="Q9" i="25"/>
  <c r="S9" i="25" s="1"/>
  <c r="S10" i="25" s="1"/>
  <c r="S13" i="25" s="1"/>
  <c r="M9" i="25"/>
  <c r="Q8" i="25"/>
  <c r="J8" i="25"/>
  <c r="Q7" i="25"/>
  <c r="J7" i="25"/>
  <c r="Q6" i="25"/>
  <c r="Q10" i="25"/>
  <c r="Q13" i="25" s="1"/>
  <c r="Q15" i="25" s="1"/>
  <c r="J6" i="25"/>
  <c r="J10" i="25"/>
  <c r="H14" i="21"/>
  <c r="P13" i="21"/>
  <c r="Q13" i="21" s="1"/>
  <c r="L13" i="21"/>
  <c r="M13" i="21" s="1"/>
  <c r="S13" i="21" s="1"/>
  <c r="F13" i="21"/>
  <c r="J13" i="21"/>
  <c r="Q11" i="21"/>
  <c r="J11" i="21"/>
  <c r="S11" i="21" s="1"/>
  <c r="Q10" i="21"/>
  <c r="J10" i="21"/>
  <c r="P9" i="21"/>
  <c r="P12" i="21" s="1"/>
  <c r="P14" i="21" s="1"/>
  <c r="O9" i="21"/>
  <c r="O12" i="21"/>
  <c r="O14" i="21" s="1"/>
  <c r="L9" i="21"/>
  <c r="L12" i="21" s="1"/>
  <c r="L14" i="21" s="1"/>
  <c r="G9" i="21"/>
  <c r="G12" i="21"/>
  <c r="G14" i="21" s="1"/>
  <c r="F9" i="21"/>
  <c r="F12" i="21" s="1"/>
  <c r="F14" i="21" s="1"/>
  <c r="D9" i="21"/>
  <c r="D12" i="21"/>
  <c r="D14" i="21" s="1"/>
  <c r="Q8" i="21"/>
  <c r="J8" i="21"/>
  <c r="S8" i="21"/>
  <c r="Q7" i="21"/>
  <c r="J7" i="21"/>
  <c r="S7" i="21" s="1"/>
  <c r="Q6" i="21"/>
  <c r="Q9" i="21" s="1"/>
  <c r="Q12" i="21" s="1"/>
  <c r="Q14" i="21" s="1"/>
  <c r="J6" i="21"/>
  <c r="J9" i="21" s="1"/>
  <c r="J6" i="1"/>
  <c r="Q6" i="1"/>
  <c r="S6" i="1"/>
  <c r="J7" i="1"/>
  <c r="Q7" i="1"/>
  <c r="J8" i="1"/>
  <c r="Q8" i="1"/>
  <c r="S8" i="1" s="1"/>
  <c r="J9" i="1"/>
  <c r="Q9" i="1"/>
  <c r="D11" i="1"/>
  <c r="J11" i="1"/>
  <c r="L11" i="1"/>
  <c r="Q11" i="1"/>
  <c r="D10" i="1"/>
  <c r="D12" i="1" s="1"/>
  <c r="F10" i="1"/>
  <c r="F12" i="1" s="1"/>
  <c r="G10" i="1"/>
  <c r="G12" i="1" s="1"/>
  <c r="L10" i="1"/>
  <c r="L12" i="1" s="1"/>
  <c r="P10" i="1"/>
  <c r="P12" i="1" s="1"/>
  <c r="O10" i="1"/>
  <c r="O12" i="1" s="1"/>
  <c r="H12" i="1"/>
  <c r="M7" i="1"/>
  <c r="M8" i="1"/>
  <c r="M9" i="1"/>
  <c r="M6" i="1"/>
  <c r="J10" i="1"/>
  <c r="J12" i="1"/>
  <c r="S9" i="1"/>
  <c r="S7" i="1"/>
  <c r="S10" i="1" s="1"/>
  <c r="S12" i="1" s="1"/>
  <c r="M11" i="1"/>
  <c r="S11" i="1"/>
  <c r="S12" i="31"/>
  <c r="S13" i="31"/>
  <c r="S10" i="31"/>
  <c r="M12" i="31"/>
  <c r="M13" i="31"/>
  <c r="M15" i="31"/>
  <c r="M16" i="31"/>
  <c r="M13" i="30"/>
  <c r="J15" i="30"/>
  <c r="M15" i="30"/>
  <c r="S15" i="30" s="1"/>
  <c r="S8" i="32"/>
  <c r="M11" i="32"/>
  <c r="S11" i="33"/>
  <c r="S12" i="33"/>
  <c r="S7" i="33"/>
  <c r="S8" i="33"/>
  <c r="S9" i="33"/>
  <c r="J10" i="33"/>
  <c r="M10" i="33"/>
  <c r="M11" i="33"/>
  <c r="M12" i="33"/>
  <c r="M13" i="33"/>
  <c r="M8" i="34"/>
  <c r="J13" i="34"/>
  <c r="J15" i="34"/>
  <c r="J15" i="35"/>
  <c r="S7" i="36"/>
  <c r="M11" i="36"/>
  <c r="M12" i="36"/>
  <c r="M15" i="36"/>
  <c r="J11" i="37"/>
  <c r="J13" i="37" s="1"/>
  <c r="S7" i="37"/>
  <c r="S8" i="37"/>
  <c r="D13" i="37"/>
  <c r="M6" i="37"/>
  <c r="S6" i="37"/>
  <c r="S9" i="37" s="1"/>
  <c r="S11" i="37" s="1"/>
  <c r="S13" i="37" s="1"/>
  <c r="M7" i="37"/>
  <c r="M8" i="37"/>
  <c r="Q9" i="37"/>
  <c r="Q11" i="37" s="1"/>
  <c r="Q13" i="37" s="1"/>
  <c r="O11" i="37"/>
  <c r="O13" i="37" s="1"/>
  <c r="F13" i="29"/>
  <c r="J12" i="28"/>
  <c r="M12" i="28"/>
  <c r="S12" i="28" s="1"/>
  <c r="S13" i="28" s="1"/>
  <c r="J13" i="27"/>
  <c r="M13" i="27"/>
  <c r="S13" i="27" s="1"/>
  <c r="M6" i="26"/>
  <c r="S6" i="26"/>
  <c r="M7" i="26"/>
  <c r="M9" i="26"/>
  <c r="M10" i="26"/>
  <c r="M11" i="26"/>
  <c r="J13" i="26"/>
  <c r="M13" i="26" s="1"/>
  <c r="S13" i="26" s="1"/>
  <c r="S7" i="25"/>
  <c r="S8" i="25"/>
  <c r="M11" i="25"/>
  <c r="M12" i="25"/>
  <c r="M9" i="37"/>
  <c r="M10" i="37"/>
  <c r="M11" i="37"/>
  <c r="J14" i="36"/>
  <c r="J16" i="36" s="1"/>
  <c r="M10" i="36"/>
  <c r="M7" i="36"/>
  <c r="F10" i="36"/>
  <c r="F14" i="36" s="1"/>
  <c r="F16" i="36" s="1"/>
  <c r="S15" i="36"/>
  <c r="S6" i="36"/>
  <c r="S10" i="36" s="1"/>
  <c r="S14" i="36" s="1"/>
  <c r="S16" i="36" s="1"/>
  <c r="M6" i="36"/>
  <c r="S13" i="36"/>
  <c r="M13" i="36"/>
  <c r="M14" i="36"/>
  <c r="M16" i="36"/>
  <c r="M15" i="35"/>
  <c r="S15" i="35"/>
  <c r="M11" i="35"/>
  <c r="M12" i="35"/>
  <c r="D13" i="34"/>
  <c r="M10" i="34"/>
  <c r="M6" i="34"/>
  <c r="S6" i="34"/>
  <c r="M12" i="34"/>
  <c r="F17" i="33"/>
  <c r="S14" i="33"/>
  <c r="M14" i="33"/>
  <c r="M6" i="33"/>
  <c r="M7" i="33"/>
  <c r="M8" i="33"/>
  <c r="M9" i="33"/>
  <c r="D15" i="33"/>
  <c r="G15" i="33"/>
  <c r="G17" i="33"/>
  <c r="S6" i="32"/>
  <c r="S10" i="32"/>
  <c r="M6" i="32"/>
  <c r="M7" i="32"/>
  <c r="M8" i="32"/>
  <c r="M9" i="32"/>
  <c r="J11" i="31"/>
  <c r="M11" i="31"/>
  <c r="M6" i="31"/>
  <c r="M7" i="31"/>
  <c r="M8" i="31"/>
  <c r="M9" i="31"/>
  <c r="M10" i="31"/>
  <c r="M6" i="30"/>
  <c r="M7" i="30"/>
  <c r="M8" i="30"/>
  <c r="M9" i="30"/>
  <c r="D14" i="30"/>
  <c r="G14" i="30"/>
  <c r="G16" i="30"/>
  <c r="D13" i="29"/>
  <c r="S10" i="29"/>
  <c r="M10" i="29"/>
  <c r="J12" i="29"/>
  <c r="M12" i="29" s="1"/>
  <c r="J9" i="29"/>
  <c r="J11" i="29"/>
  <c r="S6" i="29"/>
  <c r="M6" i="29"/>
  <c r="S7" i="29"/>
  <c r="M7" i="29"/>
  <c r="S8" i="29"/>
  <c r="M8" i="29"/>
  <c r="M9" i="29"/>
  <c r="D13" i="28"/>
  <c r="M10" i="28"/>
  <c r="M6" i="27"/>
  <c r="S6" i="27"/>
  <c r="M8" i="27"/>
  <c r="M9" i="27"/>
  <c r="J13" i="25"/>
  <c r="M10" i="25"/>
  <c r="M6" i="25"/>
  <c r="S6" i="25"/>
  <c r="M7" i="25"/>
  <c r="M8" i="25"/>
  <c r="M11" i="21"/>
  <c r="M6" i="21"/>
  <c r="S6" i="21"/>
  <c r="S9" i="21" s="1"/>
  <c r="S12" i="21" s="1"/>
  <c r="S14" i="21" s="1"/>
  <c r="M8" i="21"/>
  <c r="S10" i="21"/>
  <c r="Q10" i="1"/>
  <c r="Q12" i="1" s="1"/>
  <c r="M10" i="1"/>
  <c r="M12" i="1" s="1"/>
  <c r="M10" i="21"/>
  <c r="M7" i="21"/>
  <c r="S10" i="33"/>
  <c r="S15" i="33" s="1"/>
  <c r="S17" i="33" s="1"/>
  <c r="J13" i="29"/>
  <c r="M13" i="37"/>
  <c r="D15" i="34"/>
  <c r="M13" i="34"/>
  <c r="M15" i="34" s="1"/>
  <c r="D17" i="33"/>
  <c r="J17" i="33"/>
  <c r="D16" i="30"/>
  <c r="S9" i="29"/>
  <c r="S11" i="29" s="1"/>
  <c r="M11" i="29"/>
  <c r="M15" i="33"/>
  <c r="M17" i="33"/>
  <c r="S8" i="31"/>
  <c r="S11" i="31"/>
  <c r="S14" i="31"/>
  <c r="F19" i="31"/>
  <c r="J17" i="31"/>
  <c r="J19" i="31"/>
  <c r="D19" i="31"/>
  <c r="S7" i="30"/>
  <c r="S8" i="30"/>
  <c r="J10" i="30"/>
  <c r="S12" i="30"/>
  <c r="S10" i="30"/>
  <c r="S14" i="30" s="1"/>
  <c r="S16" i="30" s="1"/>
  <c r="M10" i="30"/>
  <c r="F14" i="30"/>
  <c r="M11" i="30"/>
  <c r="S13" i="32"/>
  <c r="S15" i="32"/>
  <c r="J13" i="32"/>
  <c r="J15" i="32" s="1"/>
  <c r="F15" i="32"/>
  <c r="D15" i="32"/>
  <c r="M13" i="32"/>
  <c r="M15" i="32" s="1"/>
  <c r="J10" i="32"/>
  <c r="M10" i="32" s="1"/>
  <c r="M12" i="32"/>
  <c r="S7" i="35"/>
  <c r="S8" i="35"/>
  <c r="S9" i="35"/>
  <c r="S13" i="35"/>
  <c r="S10" i="35"/>
  <c r="S14" i="35"/>
  <c r="S16" i="35" s="1"/>
  <c r="J10" i="35"/>
  <c r="M6" i="35"/>
  <c r="M7" i="35"/>
  <c r="M8" i="35"/>
  <c r="S10" i="27"/>
  <c r="J14" i="27"/>
  <c r="M7" i="27"/>
  <c r="D10" i="27"/>
  <c r="M10" i="27"/>
  <c r="D12" i="27"/>
  <c r="M11" i="27"/>
  <c r="S11" i="27"/>
  <c r="S12" i="27"/>
  <c r="S14" i="27" s="1"/>
  <c r="S7" i="26"/>
  <c r="S8" i="26"/>
  <c r="S12" i="26" s="1"/>
  <c r="S14" i="26" s="1"/>
  <c r="M14" i="25"/>
  <c r="S14" i="25" s="1"/>
  <c r="J15" i="25"/>
  <c r="S17" i="31"/>
  <c r="S19" i="31"/>
  <c r="M17" i="31"/>
  <c r="M19" i="31" s="1"/>
  <c r="F16" i="30"/>
  <c r="J14" i="30"/>
  <c r="J14" i="35"/>
  <c r="M10" i="35"/>
  <c r="M12" i="27"/>
  <c r="M14" i="27" s="1"/>
  <c r="D14" i="27"/>
  <c r="J16" i="30"/>
  <c r="M14" i="30"/>
  <c r="M16" i="30" s="1"/>
  <c r="J16" i="35"/>
  <c r="M14" i="35"/>
  <c r="M16" i="35"/>
  <c r="J12" i="21" l="1"/>
  <c r="M9" i="21"/>
  <c r="S15" i="25"/>
  <c r="J12" i="26"/>
  <c r="J14" i="26" s="1"/>
  <c r="M8" i="26"/>
  <c r="M12" i="26"/>
  <c r="M14" i="26" s="1"/>
  <c r="D14" i="26"/>
  <c r="S13" i="29"/>
  <c r="S12" i="29"/>
  <c r="M13" i="29"/>
  <c r="M13" i="25"/>
  <c r="M15" i="25" s="1"/>
  <c r="D15" i="25"/>
  <c r="Q14" i="27"/>
  <c r="J9" i="28"/>
  <c r="M6" i="28"/>
  <c r="M7" i="34"/>
  <c r="S9" i="34"/>
  <c r="S10" i="34" s="1"/>
  <c r="S13" i="34" s="1"/>
  <c r="S15" i="34" s="1"/>
  <c r="M8" i="36"/>
  <c r="M9" i="36"/>
  <c r="M12" i="21" l="1"/>
  <c r="M14" i="21" s="1"/>
  <c r="J14" i="21"/>
  <c r="J11" i="28"/>
  <c r="M9" i="28"/>
  <c r="J13" i="28" l="1"/>
  <c r="M11" i="28"/>
  <c r="M13" i="28" s="1"/>
</calcChain>
</file>

<file path=xl/sharedStrings.xml><?xml version="1.0" encoding="utf-8"?>
<sst xmlns="http://schemas.openxmlformats.org/spreadsheetml/2006/main" count="784" uniqueCount="192">
  <si>
    <t>( En Us$ )</t>
  </si>
  <si>
    <t>Año</t>
  </si>
  <si>
    <t>U.P./ L.T.</t>
  </si>
  <si>
    <t>Denominación L.T.</t>
  </si>
  <si>
    <t>Salarios</t>
  </si>
  <si>
    <t>Bienes/ Servicios</t>
  </si>
  <si>
    <t>INVERSIÓN</t>
  </si>
  <si>
    <t>01</t>
  </si>
  <si>
    <t>Dirección y Administración Institucional</t>
  </si>
  <si>
    <t>02</t>
  </si>
  <si>
    <t>03</t>
  </si>
  <si>
    <t>Transferencia Ejecutiva Acuerdo 737 del 23/09/98. Reducción de inversión por ¢ 1,450,000.00 para cubrir gastos de funcionamiento nuevas oficinas (Regionales de Santa Ana y San Miguel).  Se reforzó la U.P. 02</t>
  </si>
  <si>
    <t>Género y Desarrollo de La Mujer</t>
  </si>
  <si>
    <t>Transferencia Ejecutiva Acuerdo 667 del 29/07/99. Reducción de inversión por ¢ 4,224,119.00 para cubrir gastos de funcionamiento nuevas oficinas (Regionales de Santa Ana y San Miguel).  Se reforzó la U.P. 02</t>
  </si>
  <si>
    <t>Refuerzo Presupuestario. Decreto Legislativo 63 del 13/07/2000 (Excedente no utilizado en l999 de Transferencia de la Secretaría Nacional de la Familia).  Las Líneas de Trabajo son:</t>
  </si>
  <si>
    <t>Construcción y Equipamiento</t>
  </si>
  <si>
    <t>Capacitación</t>
  </si>
  <si>
    <t>02-01</t>
  </si>
  <si>
    <t>Planeación y Seguimiento de la Política Nacional de La Mujer</t>
  </si>
  <si>
    <t>02-02</t>
  </si>
  <si>
    <t>Atención a la Violencia</t>
  </si>
  <si>
    <t>Desarrollo Estadístico y Capacitación</t>
  </si>
  <si>
    <t>Desarrollo y Participación</t>
  </si>
  <si>
    <t>Salud Mental y Autoestima</t>
  </si>
  <si>
    <t>Inversión en Equipamiento</t>
  </si>
  <si>
    <t>Activos Fijos</t>
  </si>
  <si>
    <t>03-01</t>
  </si>
  <si>
    <t>Transferencia de Crédito Ejecutiva entre asignaciones del Ramo de Hacienda, según Acuerdo N° 62 del 18/01/06 (por incremento de salario a nivel nacional)</t>
  </si>
  <si>
    <t>Transferencia de Crédito Ejecutiva según Acuerdo N° 865 del 15/08/06 (indemnización Seguro)</t>
  </si>
  <si>
    <t>AJUSTES EN EJECUCIÓN</t>
  </si>
  <si>
    <t>TOTAL</t>
  </si>
  <si>
    <t>02-03</t>
  </si>
  <si>
    <t>Género y Desarrollo de la Mujer/ Promoción</t>
  </si>
  <si>
    <t>Atención a la Violencia contra la Mujer</t>
  </si>
  <si>
    <t>Seguros</t>
  </si>
  <si>
    <t>Gestión para el Desarrollo de la Mujer</t>
  </si>
  <si>
    <t>Decreto Legislativo 452 del 15/10/98, Convenio de Asistencia Técnica No Reembolsable del BID,  N° ATN/SF-5896-ES, por ¢1,312,500.00 para construcción y equipamiento de local en la zona occidental.</t>
  </si>
  <si>
    <t>R-54</t>
  </si>
  <si>
    <t>R-61</t>
  </si>
  <si>
    <t>Adquisición de Inmueble, Construcción, mejoras y equipamiento</t>
  </si>
  <si>
    <t>03-02</t>
  </si>
  <si>
    <t>Bienes/serv/ seguros</t>
  </si>
  <si>
    <t xml:space="preserve">Planeación Estratégica y Seguimiento </t>
  </si>
  <si>
    <t>Equipamiento en 6 Centros de Formación y Producción para la Mujer</t>
  </si>
  <si>
    <t>Total Ley de Presupuestos</t>
  </si>
  <si>
    <t xml:space="preserve">( *) </t>
  </si>
  <si>
    <t>Construcción y Mejoramiento de Infraestructura</t>
  </si>
  <si>
    <t>Transferencia de Crédito Ejecutiva entre asignaciones del Ramo de Hacienda, según Acuerdo N° 1559 del 23 de dic. (recib 20/01/09-reducc. Econom. De salarios).</t>
  </si>
  <si>
    <t>Transf. a Organismos</t>
  </si>
  <si>
    <t>Presupuesto Corriente</t>
  </si>
  <si>
    <t>Saldo no Ejecutado</t>
  </si>
  <si>
    <t>Inversión</t>
  </si>
  <si>
    <t>Presupuesto</t>
  </si>
  <si>
    <t>Ejecución</t>
  </si>
  <si>
    <t>Transferencia de Crédito Ejecutiva, según Acuerdo N° 355 del 12/04/2010 (modificac. Proyectos de Inversión)</t>
  </si>
  <si>
    <t>Transferencia de Crédito Ejecutiva Origen, según Acuerdo N° 692 del 21/06/10 (refuerzo indemnización SISA)</t>
  </si>
  <si>
    <t>Políticas para el Desarrollo de las Mujeres y la Igualdad de Género</t>
  </si>
  <si>
    <t>Prevención, Atención y Erradicación de la Violencia de Género contra las Mujeres.</t>
  </si>
  <si>
    <t>Atención de Compromisos Internacionales sobre Derechos Humanos de las Mujeres</t>
  </si>
  <si>
    <t>02-04</t>
  </si>
  <si>
    <t xml:space="preserve">Territorialización de la PNM </t>
  </si>
  <si>
    <t>Prevención y atención de la violencia contra las mujeres</t>
  </si>
  <si>
    <t>Atención de Compromisos internacionales sobre Derechos Humanos de las Mujeres</t>
  </si>
  <si>
    <t>Ejecución de la Política Nacional de la Mujer</t>
  </si>
  <si>
    <t>Transferencia Ejecutiva  Acuerdo 920 del 11/10/99 (de la Secretaría Nacional de la Familia para Centros de Formación)</t>
  </si>
  <si>
    <t>Transferencia de Crédito Ejecutiva entre asignaciones del Ramo de Hacienda, según Acuerdo N° 784 del 10/09/05. Refuerzo para funcionamiento</t>
  </si>
  <si>
    <t>Transferencia de Crédito Ejecutiva entre asignaciones del Ramo de Hacienda, según Acuerdo N° 1269 del 23/12/05 (disminuc de asignac al cierre:Us$5,133.00 en el R-51 y Us$100.00 en inversión)</t>
  </si>
  <si>
    <t>Transferencia de Crédito Ejecutiva entre asignaciones del Ramo de Hacienda, según Acuerdo N° 1424 del 21 de diciembre del 2007 (Recibido el 12/02/08- economías de salarios).</t>
  </si>
  <si>
    <t>Transferencia de Crédito Ejecutiva entre asignaciones del Ramo de Hacienda, según Acuerdo N°877 del 19 de agosto. Incremento de salarios DL 663.</t>
  </si>
  <si>
    <t>Transferencia de Crédito Ejecutiva entre asignaciones del Ramo de Hacienda, según Acuerdo N° 1174 del 17 de octubre.  Incremento de salarios DL 663.</t>
  </si>
  <si>
    <t>Transferencia de Crédito Ejecutiva entre asignaciones del Ramo de Hacienda, según Acuerdo N° 939 del 23/12/09 recibido el 26/01/2010. Reducc. Asignac economías de salarios</t>
  </si>
  <si>
    <t>Transferencia de Crédito Ejecutiva entre asignaciones-destino, según Acuerdo N° 173 del 23/02/2011. Incremento de salarios DL 553/2010.</t>
  </si>
  <si>
    <t>Transferencia de Crédito Ejecutiva entre asignaciones-destino, según Acuerdo N° 308 del 4/04/2011.  Incremento de salarios DL 553/2010.</t>
  </si>
  <si>
    <t>Transferencia de Crédito Ejecutiva entre asignaciones-destino, según Acuerdo N°745 del 14/07/2011 .   Incremento de salarios DL 553/2010.</t>
  </si>
  <si>
    <t>Transferencia de Crédito Ejecutiva entre asignaciones-destino, según Acuerdo N° 1063 del 17/10/2011.  Incremento de salarios DL 553/2010.</t>
  </si>
  <si>
    <t>EJERCICIO FISCAL 1997</t>
  </si>
  <si>
    <t>DETALLE DEL PRESUPUESTO ANUAL G.O.E.S. - I.S.D.E.M.U.</t>
  </si>
  <si>
    <t>EJERCICIO FISCAL 1998</t>
  </si>
  <si>
    <t>EJERCICIO FISCAL 1999</t>
  </si>
  <si>
    <t>EJERCICIO FISCAL 2000</t>
  </si>
  <si>
    <t>EJERCICIO FISCAL 2001</t>
  </si>
  <si>
    <t>EJERCICIO FISCAL 2002</t>
  </si>
  <si>
    <t>EJERCICIO FISCAL 2003</t>
  </si>
  <si>
    <t>EJERCICIO FISCAL 2004</t>
  </si>
  <si>
    <t>EJERCICIO FISCAL 2005</t>
  </si>
  <si>
    <t>EJERCICIO FISCAL 2006</t>
  </si>
  <si>
    <t>EJERCICIO FISCAL 2007</t>
  </si>
  <si>
    <t xml:space="preserve">A partir del año 2007 se pagan Us$12,000.00 que corresponden a la cuota ordinaria anual al SICA/COMMCA (Rubro 56).  </t>
  </si>
  <si>
    <t>EJERCICIO FISCAL 2008</t>
  </si>
  <si>
    <t>EJERCICIO FISCAL 2009</t>
  </si>
  <si>
    <t xml:space="preserve">A partir del año 2007 se pagan Us$12,000.00 que corresponden a la cuota ordinaria anual al SICA/COMMCA (Rubro 56). </t>
  </si>
  <si>
    <t>EJERCICIO FISCAL 2010</t>
  </si>
  <si>
    <t>EJERCICIO FISCAL 2011</t>
  </si>
  <si>
    <t>EJERCICIO FISCAL 2012</t>
  </si>
  <si>
    <t>Nota:</t>
  </si>
  <si>
    <r>
      <rPr>
        <b/>
        <sz val="8"/>
        <color indexed="8"/>
        <rFont val="Arial"/>
        <family val="2"/>
      </rPr>
      <t>2000:</t>
    </r>
    <r>
      <rPr>
        <sz val="8"/>
        <color indexed="8"/>
        <rFont val="Arial"/>
        <family val="2"/>
      </rPr>
      <t xml:space="preserve"> Los montos no ejecutados se concentran el el Rubro 51 y corresponden a economías de salarios; en la parte de inversión el monto no ejecutado fué debido a problemas en el  comodato del inmueble por parte del Ministerio de Salud Pública y Asistencia Social y porque la DGICP aprobó el proyecto hasta noviembre, no lográndose cumplir los plazos de la LACAP.</t>
    </r>
  </si>
  <si>
    <r>
      <t xml:space="preserve">1998: </t>
    </r>
    <r>
      <rPr>
        <sz val="8"/>
        <color indexed="8"/>
        <rFont val="Arial"/>
        <family val="2"/>
      </rPr>
      <t xml:space="preserve"> En este año se dio de congelamiento por medidas económicas (c.m.e.) emitidas  por el Ministerio de Hacienda (Rubro 54); el saldo no ejecutado se concentra en el ubro 51 y corresponde a economías de salarios.</t>
    </r>
  </si>
  <si>
    <r>
      <t xml:space="preserve">1997: </t>
    </r>
    <r>
      <rPr>
        <sz val="8"/>
        <color indexed="8"/>
        <rFont val="Arial"/>
        <family val="2"/>
      </rPr>
      <t>Primer año de ejecución presupuestaria. Se dio congelamiento por medidas económicas (c.m.e.) emitidas  por el Ministerio de Hacienda.   El porcentaje no ejecutado se concentró en el 1er. Semestre correspondiente a economías de salarios producto de la no contratación de las plazas desde inicios de año.</t>
    </r>
  </si>
  <si>
    <t>AÑO</t>
  </si>
  <si>
    <t>DENOMINACIÓN DEL PROYECTO DE INVERSIÓN EJECUTADO -  FONDOS G.O.E.S.</t>
  </si>
  <si>
    <t>Monto  Proyecto Us$</t>
  </si>
  <si>
    <t>Adecuación de local para instalaciones ISDEMU (9a. Av. Nte)</t>
  </si>
  <si>
    <t>Equipamiento instalaciones de ISDEMU S.S./ Impermeabilización losa</t>
  </si>
  <si>
    <t>Adecuación y equipamiento Albergue para Mujeres víctimas de V.I.F.</t>
  </si>
  <si>
    <t>Construcción y equipamiento de local en la zona occidental, Santa Ana (el monto incluye la Donación del BID por Us$150,000.00)</t>
  </si>
  <si>
    <t>Adecuación y Equipamiento de la oficina regional oriental del P.S.R.F. (San Miguel) (Transferencia Ejecutiva de la Secretaría Nacional de la Familia)</t>
  </si>
  <si>
    <t>Programa de Capacitación de funcionarios Públicos para la introducción de la perspectiva de Género en las Políticas Públicas, planes, programas y proyectos.</t>
  </si>
  <si>
    <t>Construcción y Equipamiento de Centro de Formación de la Mujer en oficios no tradicionales, Aguilares.</t>
  </si>
  <si>
    <t>Incorporación de la Perspectiva de Género en la producción de Estadísticas Nacionales del Sector Gubernamental.</t>
  </si>
  <si>
    <t>Proyecto Piloto para el Intercambio de Información Estadística con Instituciones Públicas.</t>
  </si>
  <si>
    <t>Proyecto de Sensibilización y formación de Facilitador@s Municipales para la incorporación del Enfoque de Género en proyectos para la reconstrucción de Municipios afectados por los terremotos.   Fase I</t>
  </si>
  <si>
    <t>Proyecto de Reinserción Productiva de Mujeres Zona Paracentral del país.</t>
  </si>
  <si>
    <t>Equipamiento de 3 Centros de Formación y Producción de la Mujer.                                                                                                                    (San Francisco Menéndez, San Francisco Gotera y Ahuachapán)</t>
  </si>
  <si>
    <t>Equipamiento de 2 oficinas departamentales.  (Cuscatlán y San Vicente)</t>
  </si>
  <si>
    <t>Equipamiento de 3 Centros de Formación y Producción de la Mujer.                                                                                                             (Izalco, Cojutepeque y Panchimalco)</t>
  </si>
  <si>
    <t>Fortalecimiento de la capacidad instalada del CFPM de Aguilares</t>
  </si>
  <si>
    <t>Readecuación de espacio para Cocina-Bodega en la Oficina Central de ISDEMU</t>
  </si>
  <si>
    <t>Readecuación de espacio y acabados de Cocina y Oficinas de ISDEMU San Salvador</t>
  </si>
  <si>
    <t>Mejora de la Oficina del Programa de Atención a la Violencia contra la Mujer, del Departamento de San Salvador</t>
  </si>
  <si>
    <t>Equipamiento de 6 Centros de Formación y Producción de la Mujer en la República de El Salvador.  (San Pedro Nonualco, San José Guayabal, Atiquizaya, Chalatenango, El Carmen y Santo Tomás)</t>
  </si>
  <si>
    <r>
      <t xml:space="preserve">1999: </t>
    </r>
    <r>
      <rPr>
        <sz val="8"/>
        <color indexed="8"/>
        <rFont val="Arial"/>
        <family val="2"/>
      </rPr>
      <t>Los montos no ejecutados se concentran en el Rubro 51 y corresponden a economías de salarios; en la parte de inversión el monto no ejecutado fué debido a que la Ley de Presupuestos  fué aprobada hasta mayo y la Dirección General de Inversión y Crédito Público (DGICP) aprobó algunos proyectos de Inversión hasta noviembre, lo que provocó el congelamiento de los fondos.</t>
    </r>
  </si>
  <si>
    <t>DENOMINACIÓN DE LOS PROYECTOS DE INVERSIÓN EJECUTADOS -  FONDOS G.O.E.S.</t>
  </si>
  <si>
    <t>Desde el año 2007 se pagan la cuota ordinaria de la membresía anual al SICA/COMMCA (Rubro 56).  A partir del año 2010 la cuota es de Us$15,000.00</t>
  </si>
  <si>
    <t>Implementación de la Política Nacional de las Mujeres y Plan de Igualdad</t>
  </si>
  <si>
    <t>Prevención y Atención de la Violencia contra las Mujeres</t>
  </si>
  <si>
    <r>
      <t>Rectoría de las Políticas Públicas que promueven la Equidad de Género</t>
    </r>
    <r>
      <rPr>
        <sz val="9"/>
        <color theme="1"/>
        <rFont val="Calibri"/>
        <family val="2"/>
        <scheme val="minor"/>
      </rPr>
      <t xml:space="preserve"> </t>
    </r>
  </si>
  <si>
    <t>Gestión Territorial para la igualdad Sustantiva entre Hombres y Mujeres</t>
  </si>
  <si>
    <t>Ciudad Mujer</t>
  </si>
  <si>
    <t>04-01</t>
  </si>
  <si>
    <t>Desarrollo de Iniciativas a favor de la Igualdad de Género en Territorios de Progreso</t>
  </si>
  <si>
    <t>05-01</t>
  </si>
  <si>
    <r>
      <t>Transferencia de Crédito Ejecutiva</t>
    </r>
    <r>
      <rPr>
        <b/>
        <sz val="8"/>
        <rFont val="Arial"/>
        <family val="2"/>
      </rPr>
      <t xml:space="preserve"> Aumento Presupuesto por Us$91,301.00</t>
    </r>
    <r>
      <rPr>
        <sz val="8"/>
        <rFont val="Arial"/>
        <family val="2"/>
      </rPr>
      <t xml:space="preserve">. Decreto Legislativo 109 del 24 de agosto para la ejecución de proyecto de inversión. </t>
    </r>
    <r>
      <rPr>
        <b/>
        <sz val="8"/>
        <color rgb="FFC00000"/>
        <rFont val="Arial"/>
        <family val="2"/>
      </rPr>
      <t>Donación</t>
    </r>
    <r>
      <rPr>
        <sz val="8"/>
        <rFont val="Arial"/>
        <family val="2"/>
      </rPr>
      <t xml:space="preserve"> Fondo Programa de Apoyo a Comunidades Solidarias en El Salvador-PACSES  </t>
    </r>
    <r>
      <rPr>
        <b/>
        <sz val="8"/>
        <rFont val="Arial"/>
        <family val="2"/>
      </rPr>
      <t>(esta información está incluida en los cuadros control de las donaciones)</t>
    </r>
  </si>
  <si>
    <r>
      <t xml:space="preserve">Transferencia de Crédito Ejecutiva </t>
    </r>
    <r>
      <rPr>
        <b/>
        <sz val="8"/>
        <rFont val="Arial"/>
        <family val="2"/>
      </rPr>
      <t>Aumento Presupuesto</t>
    </r>
    <r>
      <rPr>
        <sz val="8"/>
        <rFont val="Arial"/>
        <family val="2"/>
      </rPr>
      <t>. Decreto Legislativo 169 de fecha 25 de octubre del 2012.   Fondos PACSES para gasto corriente (plazas Ciudad Mujer Usulután).</t>
    </r>
  </si>
  <si>
    <r>
      <t xml:space="preserve">Transferencia de Crédito Ejecutiva </t>
    </r>
    <r>
      <rPr>
        <b/>
        <sz val="8"/>
        <rFont val="Arial"/>
        <family val="2"/>
      </rPr>
      <t>Disminución Presupuesto</t>
    </r>
    <r>
      <rPr>
        <sz val="8"/>
        <rFont val="Arial"/>
        <family val="2"/>
      </rPr>
      <t xml:space="preserve">. Acuerdo Ejecutivo N° 1753-Bis de fecha 9 de noviembre del 2012 (economías de salarios). </t>
    </r>
  </si>
  <si>
    <t>EJERCICIO FISCAL 2013</t>
  </si>
  <si>
    <t>A partir del año 2007 se paga una cuota ordinaria anual al SICA/COMMCA (Rubro 56).  A partir del año 2010 la cuota es de Us$15,000.00</t>
  </si>
  <si>
    <r>
      <t xml:space="preserve">Comunidades Solidarias - PACSES </t>
    </r>
    <r>
      <rPr>
        <b/>
        <sz val="8"/>
        <color rgb="FFC00000"/>
        <rFont val="Arial"/>
        <family val="2"/>
      </rPr>
      <t>(Us$90,000.00 Donación Fondo Programa de Apoyo a Comunidades Solidarias en El Salvador-PACSES (Us$52,500.00 en R-54 y Us$37,500.00 en R-61).  Esta información está incluida en los cuadros control de las donaciones)</t>
    </r>
  </si>
  <si>
    <t>Ejecución sub sistema de presupuesto (al 31/12/2013)</t>
  </si>
  <si>
    <t>Rectoría para la implementación de la Política Nacional de las Mujeres y Plan Nacional de Igualdad</t>
  </si>
  <si>
    <t>Unidad de atención integral especializada para mujeres que enfrentan violencia</t>
  </si>
  <si>
    <t>Rectoría de las Políticas Públicas para la Igualdad y vida libre de violencia para las mujeres</t>
  </si>
  <si>
    <t>Gestión Territorial para la igualdad</t>
  </si>
  <si>
    <t>Programa Ciudad Mujer</t>
  </si>
  <si>
    <t>04</t>
  </si>
  <si>
    <t>Programa Territorios de Progreso</t>
  </si>
  <si>
    <t>05</t>
  </si>
  <si>
    <t>Construcción, Equipamiento, Reconstrucción y mejora de la Infraestructura Institucional</t>
  </si>
  <si>
    <t>5617- Adecuación de la Escuela de Formación para la Igualdad Sustantiva del ISDEMU, San Salvador</t>
  </si>
  <si>
    <t>5619 - Equipamiento de 6 Centros de Atención del ISDEMU para la efectiva Territorialización de la Política Nacional de la Mujer</t>
  </si>
  <si>
    <t>5893 - Construcción de obras de Mejoramiento de la infraestructura de la oficina de ISDEMU Santa Ana.</t>
  </si>
  <si>
    <t>06</t>
  </si>
  <si>
    <t>07</t>
  </si>
  <si>
    <t>Fondo Especial para una Vida Libre de Violencia para las Mujeres.</t>
  </si>
  <si>
    <t>Proyecto Código 5617:  "Adecuación de  la Escuela de Formación para la Igualdad Sustantiva del ISDEMU San Salvador</t>
  </si>
  <si>
    <t xml:space="preserve">Proyecto Código 5893: "Construcción de obras de mejoramiento de la infraestructura de la oficina de ISDEMU Santa Ana" </t>
  </si>
  <si>
    <t>DETALLE DE LOS PRESUPUESTOS ANUALES G.O.E.S. - I.S.D.E.M.U.</t>
  </si>
  <si>
    <t>Rectoría de políticas públicas que promueven los derechos de las mujeres</t>
  </si>
  <si>
    <t>Rectoría para la Igualdad Sustantiva y una vida libre de violencia para la mujeres</t>
  </si>
  <si>
    <t>Rectoría para la ciudadanía de las mujeres y gestión territorial para la igualdad</t>
  </si>
  <si>
    <t xml:space="preserve">Desarrollo de iniciativas a favor de las mujeres </t>
  </si>
  <si>
    <t>Remodelación, equipamiento y fortalecimiento de capacidades</t>
  </si>
  <si>
    <t>EJERCICIO FINANCIERO FISCAL 2015</t>
  </si>
  <si>
    <t xml:space="preserve">Proyecto Código 6065- Remodelación de las instalaciones de baños y caseta de vigilancia de la Oficina central del Instituto Salvadoreño para el Desarrollo de la Mujer- ISDEMU-, establecidas en el departamento de San Salvador </t>
  </si>
  <si>
    <t>Proyecto Código 6066 - Equipamiento y fortalecimiento de capacidades de la Unidad de Comunicaciones de ISDEMU, San Salvador</t>
  </si>
  <si>
    <t xml:space="preserve">6065- Remodelación de las instalaciones de baños y caseta de vigilancia de la Oficina central del Instituto Salvadoreño para el Desarrollo de la Mujer- ISDEMU-, establecidas en el departamento de San Salvador </t>
  </si>
  <si>
    <t xml:space="preserve">6066 - Equipamiento y fortalecimiento de capacidades de la Unidad de Comunicaciones de ISDEMU, San Salvador </t>
  </si>
  <si>
    <t>DENOMINACIÓN DE LOS PROYECTOS DE INVERSIÓN                                               FONDOS G.O.E.S.</t>
  </si>
  <si>
    <r>
      <t xml:space="preserve">Comunidades Solidarias - FOCAP </t>
    </r>
    <r>
      <rPr>
        <sz val="8"/>
        <color rgb="FFC00000"/>
        <rFont val="Arial"/>
        <family val="2"/>
      </rPr>
      <t>(Us$300,000.00 de Donación para la continuidad del proyecto 5765- Adecuación de Centros de Atención para la Gestión Territorial para la Igualdad y la Prevención Social de la Violencia de Género en 11 municipios de Comunidades Solidarias Urbanas).  Los Us$300,000.00 están distribuidos así: Us$294,050.00 en R-54 y Us$5,950.00 en R-61.  Esta información estará incluida en los cuadros control de las donaciones.</t>
    </r>
  </si>
  <si>
    <r>
      <t xml:space="preserve">Comunidades Solidarias - FOCAP </t>
    </r>
    <r>
      <rPr>
        <sz val="8"/>
        <color rgb="FFC00000"/>
        <rFont val="Arial"/>
        <family val="2"/>
      </rPr>
      <t>(Us$300,000.00 de Donación para la continuidad del proyecto 5765- Adecuación de Centros de Atención para la Gestión Territorial para la Igualdad y la Prevención Social de la Violencia de Género en 11 municipios de Comunidades Solidarias Urbanas).  Los Us$300,000.00 están distribuidos así: Us$210,000.00 en R-54 y Us$90,000.00 en R-61.  Esta información está incluida en los cuadros control de las donaciones.</t>
    </r>
  </si>
  <si>
    <r>
      <t xml:space="preserve">Transferencia de Crédito Ejecutiva </t>
    </r>
    <r>
      <rPr>
        <b/>
        <sz val="8"/>
        <rFont val="Arial"/>
        <family val="2"/>
      </rPr>
      <t>Disminución Presupuesto</t>
    </r>
    <r>
      <rPr>
        <sz val="8"/>
        <rFont val="Arial"/>
        <family val="2"/>
      </rPr>
      <t xml:space="preserve">. Acuerdo Ejecutivo N° 2328 de fecha 19 de diciembre del 2014. </t>
    </r>
  </si>
  <si>
    <t>Ejecución sub sistema de presupuesto (al 31/12/2014)</t>
  </si>
  <si>
    <t>Proyecto Código 5619: "Equipamiento de seis centros de atención  del ISDEMU para la efectiva territorialización de la Política Nacional de la Mujer"</t>
  </si>
  <si>
    <t>EJERCICIO FISCAL 2014</t>
  </si>
  <si>
    <t>5893- Construcción de obras de mejoramiento de la infraestructura de la oficina de ISDEMU, Santa Ana</t>
  </si>
  <si>
    <t>Congelamiento de asignaciones en cumplimiento al Art. 14 de la Política de Ahorro y Austeridad del Sector Público 2015.</t>
  </si>
  <si>
    <t>Saldo pendiente de ejecución</t>
  </si>
  <si>
    <t xml:space="preserve">En relación a los datos de "Transferencias Corrientes", corresponde a la cuota ordinaria de la membresía anual al SICA/COMMCA por Us$15,000.00  y el resto es proveniente de la aplicación del Convenio Interinstitucional suscrito entre ISDEMU y la PNC por el servicio de vigilancia a nivel nacional .  </t>
  </si>
  <si>
    <t>Los proyectos de inversión GOES del 2015 se modificaron mediante Acuerdo Ejecutivo N° 262 del 6 de marzo/2015.</t>
  </si>
  <si>
    <t>Proyecto 5893- Construcción de obras de mejoramiento de la infraestructura de la oficina de ISDEMU, Santa Ana</t>
  </si>
  <si>
    <t>Ejecución sub sistema de presupuesto (al 31/12/2015)</t>
  </si>
  <si>
    <t>EJERCICIO FINANCIERO FISCAL 2016</t>
  </si>
  <si>
    <t>Vigilancia y Promoción de los avances en materia de igualdad sustantiva de las mujeres</t>
  </si>
  <si>
    <t>Vigilancia y Promoción del acceso de las mujeres a una vida libre de violencia</t>
  </si>
  <si>
    <t>Servicios de atención integral y especializados a mujeres que enfrentan violencia</t>
  </si>
  <si>
    <t>Programa  Seguimiento a Sentencia caso El Mozote</t>
  </si>
  <si>
    <t>Mejoramiento de la capacidad instalada</t>
  </si>
  <si>
    <t>6275- Adquisición e instalación de generadores de energía fotovoltaica en la Oficina central del ISDEMU ubicada en San Salvador (Us$150,000.00)</t>
  </si>
  <si>
    <r>
      <t xml:space="preserve">Congelamiento de asignaciones en cumplimiento al </t>
    </r>
    <r>
      <rPr>
        <b/>
        <sz val="8"/>
        <color rgb="FFFF0000"/>
        <rFont val="Arial"/>
        <family val="2"/>
      </rPr>
      <t>Art. 14 de la Política de Ahorro y Austeridad del Sector Público 2015.</t>
    </r>
  </si>
  <si>
    <t>Proyecto 6275- Adquisición e instalación de generadores de energía fotovoltaica en la Oficina central del ISDEMU ubicada en San Salvador</t>
  </si>
  <si>
    <t xml:space="preserve">En relación a los datos de "Transferencias Corrientes", corresponde a la cuota ordinaria de la membresía anual al SICA/COMMCA por Us$15,000.00  y el resto es proveniente de la aplicación del Convenio Interinstitucional suscrito entre ISDEMU y la PNC por el servicio de vigilancia a nivel nacional.  Este Rubro se encuentra desfinanciado desde inicio del Ejercicio Financiero Fiscal.  </t>
  </si>
  <si>
    <t>Ejecución sub sistema de presupuesto (al 31/03/2016)</t>
  </si>
  <si>
    <t>Unidad Financiera, 15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</si>
</sst>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name val="Arial"/>
    </font>
    <font>
      <sz val="8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C00000"/>
      <name val="Arial"/>
      <family val="2"/>
    </font>
    <font>
      <sz val="9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8"/>
      <color indexed="1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1" xfId="0" applyFont="1" applyBorder="1" applyAlignment="1">
      <alignment vertical="top" wrapText="1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4" fontId="1" fillId="4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left" vertical="top" wrapText="1"/>
    </xf>
    <xf numFmtId="4" fontId="1" fillId="0" borderId="6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4" fontId="1" fillId="0" borderId="4" xfId="0" applyNumberFormat="1" applyFont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horizontal="left" vertical="top" wrapText="1"/>
    </xf>
    <xf numFmtId="4" fontId="3" fillId="0" borderId="6" xfId="0" applyNumberFormat="1" applyFont="1" applyBorder="1" applyAlignment="1" applyProtection="1">
      <alignment horizontal="center" vertical="top"/>
    </xf>
    <xf numFmtId="4" fontId="3" fillId="0" borderId="0" xfId="0" applyNumberFormat="1" applyFont="1" applyAlignment="1">
      <alignment vertical="center"/>
    </xf>
    <xf numFmtId="0" fontId="1" fillId="4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vertical="top" wrapText="1"/>
    </xf>
    <xf numFmtId="4" fontId="1" fillId="4" borderId="4" xfId="0" applyNumberFormat="1" applyFont="1" applyFill="1" applyBorder="1" applyAlignment="1" applyProtection="1">
      <alignment horizontal="center" vertical="top"/>
    </xf>
    <xf numFmtId="4" fontId="1" fillId="4" borderId="1" xfId="0" applyNumberFormat="1" applyFont="1" applyFill="1" applyBorder="1" applyAlignment="1" applyProtection="1">
      <alignment horizontal="center" vertical="top"/>
    </xf>
    <xf numFmtId="4" fontId="1" fillId="4" borderId="6" xfId="0" applyNumberFormat="1" applyFont="1" applyFill="1" applyBorder="1" applyAlignment="1" applyProtection="1">
      <alignment horizontal="center" vertical="top"/>
    </xf>
    <xf numFmtId="4" fontId="3" fillId="4" borderId="1" xfId="0" applyNumberFormat="1" applyFont="1" applyFill="1" applyBorder="1" applyAlignment="1" applyProtection="1">
      <alignment horizontal="center" vertical="top"/>
    </xf>
    <xf numFmtId="4" fontId="3" fillId="4" borderId="4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center" wrapText="1"/>
    </xf>
    <xf numFmtId="4" fontId="3" fillId="3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4" fontId="3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readingOrder="1"/>
    </xf>
    <xf numFmtId="0" fontId="4" fillId="0" borderId="0" xfId="0" applyFont="1" applyAlignment="1" applyProtection="1">
      <alignment horizontal="center" vertical="center"/>
    </xf>
    <xf numFmtId="4" fontId="4" fillId="0" borderId="0" xfId="0" applyNumberFormat="1" applyFont="1" applyAlignment="1" applyProtection="1">
      <alignment vertical="center"/>
    </xf>
    <xf numFmtId="4" fontId="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4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4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</xf>
    <xf numFmtId="164" fontId="1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 vertical="center"/>
    </xf>
    <xf numFmtId="164" fontId="1" fillId="5" borderId="1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/>
    </xf>
    <xf numFmtId="4" fontId="3" fillId="0" borderId="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 readingOrder="1"/>
    </xf>
    <xf numFmtId="0" fontId="1" fillId="4" borderId="1" xfId="0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top"/>
    </xf>
    <xf numFmtId="4" fontId="3" fillId="0" borderId="3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readingOrder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readingOrder="1"/>
    </xf>
    <xf numFmtId="4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4" zoomScaleNormal="75" zoomScaleSheetLayoutView="75" workbookViewId="0">
      <selection activeCell="I17" sqref="I17"/>
    </sheetView>
  </sheetViews>
  <sheetFormatPr baseColWidth="10" defaultRowHeight="11.25" x14ac:dyDescent="0.2"/>
  <cols>
    <col min="1" max="1" width="4.85546875" style="130" customWidth="1"/>
    <col min="2" max="2" width="6" style="130" customWidth="1"/>
    <col min="3" max="3" width="36" style="133" customWidth="1"/>
    <col min="4" max="4" width="9.85546875" style="131" customWidth="1"/>
    <col min="5" max="5" width="0.28515625" style="131" customWidth="1"/>
    <col min="6" max="6" width="11.28515625" style="131" customWidth="1"/>
    <col min="7" max="7" width="10" style="131" customWidth="1"/>
    <col min="8" max="8" width="12" style="131" customWidth="1"/>
    <col min="9" max="9" width="0.42578125" style="131" customWidth="1"/>
    <col min="10" max="10" width="12" style="131" customWidth="1"/>
    <col min="11" max="11" width="0.28515625" style="131" customWidth="1"/>
    <col min="12" max="12" width="12.5703125" style="131" customWidth="1"/>
    <col min="13" max="13" width="11.7109375" style="132" customWidth="1"/>
    <col min="14" max="14" width="0.42578125" style="131" customWidth="1"/>
    <col min="15" max="15" width="10.42578125" style="131" customWidth="1"/>
    <col min="16" max="16" width="11" style="131" customWidth="1"/>
    <col min="17" max="17" width="11.7109375" style="132" customWidth="1"/>
    <col min="18" max="18" width="0.28515625" style="131" customWidth="1"/>
    <col min="19" max="19" width="14.85546875" style="132" customWidth="1"/>
    <col min="20" max="20" width="1" style="106" customWidth="1"/>
    <col min="21" max="16384" width="11.42578125" style="106"/>
  </cols>
  <sheetData>
    <row r="1" spans="1:19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94" customFormat="1" ht="15" customHeight="1" x14ac:dyDescent="0.2">
      <c r="A2" s="217" t="s">
        <v>75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s="95" customFormat="1" ht="14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19" s="95" customFormat="1" ht="33.75" customHeigh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98"/>
      <c r="O5" s="99" t="s">
        <v>37</v>
      </c>
      <c r="P5" s="100" t="s">
        <v>38</v>
      </c>
      <c r="Q5" s="226"/>
      <c r="R5" s="224"/>
      <c r="S5" s="224"/>
    </row>
    <row r="6" spans="1:19" ht="18" customHeight="1" x14ac:dyDescent="0.2">
      <c r="A6" s="101">
        <v>1997</v>
      </c>
      <c r="B6" s="101" t="s">
        <v>7</v>
      </c>
      <c r="C6" s="102" t="s">
        <v>8</v>
      </c>
      <c r="D6" s="103">
        <v>352796</v>
      </c>
      <c r="E6" s="103"/>
      <c r="F6" s="103">
        <v>180042.29</v>
      </c>
      <c r="G6" s="103"/>
      <c r="H6" s="103"/>
      <c r="I6" s="103"/>
      <c r="J6" s="103">
        <f>SUM(F6:G6)</f>
        <v>180042.29</v>
      </c>
      <c r="K6" s="103"/>
      <c r="L6" s="103">
        <v>10491.43</v>
      </c>
      <c r="M6" s="104">
        <f t="shared" ref="M6:M11" si="0">SUM(D6,J6,L6)</f>
        <v>543329.72000000009</v>
      </c>
      <c r="N6" s="103"/>
      <c r="O6" s="103"/>
      <c r="P6" s="103"/>
      <c r="Q6" s="104">
        <f>SUM(O6:P6)</f>
        <v>0</v>
      </c>
      <c r="R6" s="103"/>
      <c r="S6" s="105">
        <f>SUM(D6,J6,L6,Q6)</f>
        <v>543329.72000000009</v>
      </c>
    </row>
    <row r="7" spans="1:19" ht="18" customHeight="1" x14ac:dyDescent="0.2">
      <c r="A7" s="101"/>
      <c r="B7" s="107" t="s">
        <v>17</v>
      </c>
      <c r="C7" s="102" t="s">
        <v>32</v>
      </c>
      <c r="D7" s="103">
        <v>133449.71</v>
      </c>
      <c r="E7" s="103"/>
      <c r="F7" s="103">
        <v>85910.86</v>
      </c>
      <c r="G7" s="103"/>
      <c r="H7" s="103"/>
      <c r="I7" s="103"/>
      <c r="J7" s="103">
        <f>SUM(F7:G7)</f>
        <v>85910.86</v>
      </c>
      <c r="K7" s="103"/>
      <c r="L7" s="103">
        <v>5712.57</v>
      </c>
      <c r="M7" s="104">
        <f t="shared" si="0"/>
        <v>225073.14</v>
      </c>
      <c r="N7" s="103"/>
      <c r="O7" s="103"/>
      <c r="P7" s="103"/>
      <c r="Q7" s="104">
        <f>SUM(O7:P7)</f>
        <v>0</v>
      </c>
      <c r="R7" s="103"/>
      <c r="S7" s="105">
        <f>SUM(D7,J7,L7,Q7)</f>
        <v>225073.14</v>
      </c>
    </row>
    <row r="8" spans="1:19" ht="18" customHeight="1" x14ac:dyDescent="0.2">
      <c r="A8" s="101"/>
      <c r="B8" s="107" t="s">
        <v>31</v>
      </c>
      <c r="C8" s="102" t="s">
        <v>33</v>
      </c>
      <c r="D8" s="103">
        <v>122092.57</v>
      </c>
      <c r="E8" s="103"/>
      <c r="F8" s="103">
        <v>65161.71</v>
      </c>
      <c r="G8" s="103"/>
      <c r="H8" s="103"/>
      <c r="I8" s="103"/>
      <c r="J8" s="103">
        <f>SUM(F8:G8)</f>
        <v>65161.71</v>
      </c>
      <c r="K8" s="103"/>
      <c r="L8" s="103">
        <v>4342.8599999999997</v>
      </c>
      <c r="M8" s="104">
        <f t="shared" si="0"/>
        <v>191597.13999999998</v>
      </c>
      <c r="N8" s="103"/>
      <c r="O8" s="103"/>
      <c r="P8" s="103"/>
      <c r="Q8" s="104">
        <f>SUM(O8:P8)</f>
        <v>0</v>
      </c>
      <c r="R8" s="103"/>
      <c r="S8" s="105">
        <f>SUM(D8,J8,L8,Q8)</f>
        <v>191597.13999999998</v>
      </c>
    </row>
    <row r="9" spans="1:19" ht="18" customHeight="1" x14ac:dyDescent="0.2">
      <c r="A9" s="101"/>
      <c r="B9" s="107" t="s">
        <v>10</v>
      </c>
      <c r="C9" s="102" t="s">
        <v>46</v>
      </c>
      <c r="D9" s="103"/>
      <c r="E9" s="103"/>
      <c r="F9" s="103"/>
      <c r="G9" s="103"/>
      <c r="H9" s="103"/>
      <c r="I9" s="103"/>
      <c r="J9" s="103">
        <f>SUM(F9:G9)</f>
        <v>0</v>
      </c>
      <c r="K9" s="103"/>
      <c r="L9" s="103"/>
      <c r="M9" s="104">
        <f t="shared" si="0"/>
        <v>0</v>
      </c>
      <c r="N9" s="103"/>
      <c r="O9" s="103"/>
      <c r="P9" s="103">
        <v>182857.14</v>
      </c>
      <c r="Q9" s="104">
        <f>SUM(O9:P9)</f>
        <v>182857.14</v>
      </c>
      <c r="R9" s="103"/>
      <c r="S9" s="105">
        <f>SUM(D9,J9,L9,Q9)</f>
        <v>182857.14</v>
      </c>
    </row>
    <row r="10" spans="1:19" s="114" customFormat="1" ht="18" customHeight="1" x14ac:dyDescent="0.2">
      <c r="A10" s="108"/>
      <c r="B10" s="109"/>
      <c r="C10" s="110" t="s">
        <v>52</v>
      </c>
      <c r="D10" s="111">
        <f>SUM(D6:D9)</f>
        <v>608338.28</v>
      </c>
      <c r="E10" s="111"/>
      <c r="F10" s="111">
        <f t="shared" ref="F10:S10" si="1">SUM(F6:F9)</f>
        <v>331114.86000000004</v>
      </c>
      <c r="G10" s="111">
        <f t="shared" si="1"/>
        <v>0</v>
      </c>
      <c r="H10" s="111"/>
      <c r="I10" s="111"/>
      <c r="J10" s="111">
        <f>SUM(F10:G10)</f>
        <v>331114.86000000004</v>
      </c>
      <c r="K10" s="111"/>
      <c r="L10" s="111">
        <f t="shared" si="1"/>
        <v>20546.86</v>
      </c>
      <c r="M10" s="112">
        <f t="shared" si="0"/>
        <v>960000.00000000012</v>
      </c>
      <c r="N10" s="111"/>
      <c r="O10" s="111">
        <f t="shared" si="1"/>
        <v>0</v>
      </c>
      <c r="P10" s="111">
        <f t="shared" si="1"/>
        <v>182857.14</v>
      </c>
      <c r="Q10" s="113">
        <f t="shared" si="1"/>
        <v>182857.14</v>
      </c>
      <c r="R10" s="111"/>
      <c r="S10" s="111">
        <f t="shared" si="1"/>
        <v>1142857.1400000001</v>
      </c>
    </row>
    <row r="11" spans="1:19" s="119" customFormat="1" ht="18" customHeight="1" x14ac:dyDescent="0.2">
      <c r="A11" s="115"/>
      <c r="B11" s="116"/>
      <c r="C11" s="117" t="s">
        <v>53</v>
      </c>
      <c r="D11" s="118">
        <f>408972.99-76180.28</f>
        <v>332792.70999999996</v>
      </c>
      <c r="E11" s="118"/>
      <c r="F11" s="118">
        <v>331114.86</v>
      </c>
      <c r="G11" s="118"/>
      <c r="H11" s="118"/>
      <c r="I11" s="118"/>
      <c r="J11" s="118">
        <f>SUM(F11:H11)</f>
        <v>331114.86</v>
      </c>
      <c r="K11" s="118"/>
      <c r="L11" s="118">
        <f>25375.19-4828.33</f>
        <v>20546.86</v>
      </c>
      <c r="M11" s="118">
        <f t="shared" si="0"/>
        <v>684454.42999999993</v>
      </c>
      <c r="N11" s="118"/>
      <c r="O11" s="118"/>
      <c r="P11" s="118">
        <v>125714.29</v>
      </c>
      <c r="Q11" s="118">
        <f>SUM(O11:P11)</f>
        <v>125714.29</v>
      </c>
      <c r="R11" s="118"/>
      <c r="S11" s="118">
        <f>SUM(M11,Q11)</f>
        <v>810168.72</v>
      </c>
    </row>
    <row r="12" spans="1:19" s="125" customFormat="1" ht="18" customHeight="1" x14ac:dyDescent="0.2">
      <c r="A12" s="120"/>
      <c r="B12" s="121"/>
      <c r="C12" s="122" t="s">
        <v>50</v>
      </c>
      <c r="D12" s="123">
        <f>D10-D11</f>
        <v>275545.57000000007</v>
      </c>
      <c r="E12" s="123"/>
      <c r="F12" s="123">
        <f>F10-F11</f>
        <v>0</v>
      </c>
      <c r="G12" s="123">
        <f>G10-G11</f>
        <v>0</v>
      </c>
      <c r="H12" s="123">
        <f>H10-H11</f>
        <v>0</v>
      </c>
      <c r="I12" s="123"/>
      <c r="J12" s="123">
        <f>J10-J11</f>
        <v>0</v>
      </c>
      <c r="K12" s="123"/>
      <c r="L12" s="123">
        <f>L10-L11</f>
        <v>0</v>
      </c>
      <c r="M12" s="124">
        <f>M10-M11</f>
        <v>275545.57000000018</v>
      </c>
      <c r="N12" s="123"/>
      <c r="O12" s="123">
        <f>O10-O11</f>
        <v>0</v>
      </c>
      <c r="P12" s="123">
        <f>P10-P11</f>
        <v>57142.85000000002</v>
      </c>
      <c r="Q12" s="123">
        <f>Q10-Q11</f>
        <v>57142.85000000002</v>
      </c>
      <c r="R12" s="123"/>
      <c r="S12" s="123">
        <f>S10-S11</f>
        <v>332688.42000000016</v>
      </c>
    </row>
    <row r="13" spans="1:19" s="125" customFormat="1" ht="18" customHeight="1" x14ac:dyDescent="0.2">
      <c r="A13" s="120"/>
      <c r="B13" s="121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123"/>
      <c r="O13" s="123"/>
      <c r="P13" s="123"/>
      <c r="Q13" s="123"/>
      <c r="R13" s="123"/>
      <c r="S13" s="123"/>
    </row>
    <row r="14" spans="1:19" s="96" customFormat="1" ht="13.5" customHeight="1" x14ac:dyDescent="0.2">
      <c r="A14" s="126"/>
      <c r="B14" s="126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s="96" customFormat="1" ht="13.5" customHeight="1" x14ac:dyDescent="0.2">
      <c r="A15" s="126"/>
      <c r="B15" s="129" t="s">
        <v>94</v>
      </c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s="96" customFormat="1" ht="29.25" customHeight="1" x14ac:dyDescent="0.2">
      <c r="A16" s="126"/>
      <c r="B16" s="231" t="s">
        <v>97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</row>
    <row r="18" spans="2:4" ht="33.75" x14ac:dyDescent="0.2">
      <c r="B18" s="90" t="s">
        <v>98</v>
      </c>
      <c r="C18" s="61" t="s">
        <v>99</v>
      </c>
      <c r="D18" s="62" t="s">
        <v>100</v>
      </c>
    </row>
    <row r="19" spans="2:4" ht="22.5" x14ac:dyDescent="0.2">
      <c r="B19" s="90">
        <v>1997</v>
      </c>
      <c r="C19" s="63" t="s">
        <v>101</v>
      </c>
      <c r="D19" s="65">
        <v>182857.14285714287</v>
      </c>
    </row>
  </sheetData>
  <sheetProtection password="C96C" sheet="1" objects="1" scenarios="1" selectLockedCells="1" selectUnlockedCells="1"/>
  <mergeCells count="21">
    <mergeCell ref="B16:S16"/>
    <mergeCell ref="M4:M5"/>
    <mergeCell ref="E4:E5"/>
    <mergeCell ref="J4:J5"/>
    <mergeCell ref="L4:L5"/>
    <mergeCell ref="H4:H5"/>
    <mergeCell ref="R4:R5"/>
    <mergeCell ref="B1:S1"/>
    <mergeCell ref="B3:S3"/>
    <mergeCell ref="A2:S2"/>
    <mergeCell ref="A4:A5"/>
    <mergeCell ref="B4:B5"/>
    <mergeCell ref="D4:D5"/>
    <mergeCell ref="S4:S5"/>
    <mergeCell ref="G4:G5"/>
    <mergeCell ref="I4:I5"/>
    <mergeCell ref="K4:K5"/>
    <mergeCell ref="Q4:Q5"/>
    <mergeCell ref="O4:P4"/>
    <mergeCell ref="F4:F5"/>
    <mergeCell ref="C4:C5"/>
  </mergeCells>
  <phoneticPr fontId="0" type="noConversion"/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6" zoomScaleNormal="75" zoomScaleSheetLayoutView="75" workbookViewId="0">
      <selection activeCell="C21" sqref="C21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2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2006</v>
      </c>
      <c r="B6" s="13" t="s">
        <v>7</v>
      </c>
      <c r="C6" s="14" t="s">
        <v>8</v>
      </c>
      <c r="D6" s="15">
        <v>273625</v>
      </c>
      <c r="E6" s="15"/>
      <c r="F6" s="15">
        <v>85855</v>
      </c>
      <c r="G6" s="15">
        <v>3500</v>
      </c>
      <c r="H6" s="15"/>
      <c r="I6" s="15"/>
      <c r="J6" s="15">
        <f t="shared" ref="J6:J13" si="0">SUM(F6:G6)</f>
        <v>89355</v>
      </c>
      <c r="K6" s="15"/>
      <c r="L6" s="15">
        <v>6500</v>
      </c>
      <c r="M6" s="16">
        <f t="shared" ref="M6:M14" si="1">SUM(D6,J6,L6)</f>
        <v>369480</v>
      </c>
      <c r="N6" s="15"/>
      <c r="O6" s="15"/>
      <c r="P6" s="15"/>
      <c r="Q6" s="16">
        <f>SUM(O6:P6)</f>
        <v>0</v>
      </c>
      <c r="R6" s="15"/>
      <c r="S6" s="17">
        <f>SUM(D6,J6,L6,Q6)</f>
        <v>369480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304340</v>
      </c>
      <c r="E7" s="15"/>
      <c r="F7" s="15">
        <v>122640</v>
      </c>
      <c r="G7" s="15">
        <v>5000</v>
      </c>
      <c r="H7" s="15"/>
      <c r="I7" s="15"/>
      <c r="J7" s="15">
        <f t="shared" si="0"/>
        <v>127640</v>
      </c>
      <c r="K7" s="15"/>
      <c r="L7" s="15">
        <v>20000</v>
      </c>
      <c r="M7" s="16">
        <f t="shared" si="1"/>
        <v>451980</v>
      </c>
      <c r="N7" s="15"/>
      <c r="O7" s="15"/>
      <c r="P7" s="15"/>
      <c r="Q7" s="16">
        <f>SUM(O7:P7)</f>
        <v>0</v>
      </c>
      <c r="R7" s="15"/>
      <c r="S7" s="17">
        <f>SUM(D7,J7,L7,Q7)</f>
        <v>451980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777500</v>
      </c>
      <c r="E8" s="15"/>
      <c r="F8" s="15">
        <v>375495</v>
      </c>
      <c r="G8" s="15">
        <v>16500</v>
      </c>
      <c r="H8" s="15"/>
      <c r="I8" s="15"/>
      <c r="J8" s="15">
        <f t="shared" si="0"/>
        <v>391995</v>
      </c>
      <c r="K8" s="15"/>
      <c r="L8" s="15">
        <v>123025</v>
      </c>
      <c r="M8" s="16">
        <f t="shared" si="1"/>
        <v>1292520</v>
      </c>
      <c r="N8" s="15"/>
      <c r="O8" s="15"/>
      <c r="P8" s="15"/>
      <c r="Q8" s="16">
        <f>SUM(O8:P8)</f>
        <v>0</v>
      </c>
      <c r="R8" s="15"/>
      <c r="S8" s="17">
        <f>SUM(D8,J8,L8,Q8)</f>
        <v>1292520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>
        <v>260000</v>
      </c>
      <c r="Q9" s="16">
        <f>SUM(O9:P9)</f>
        <v>260000</v>
      </c>
      <c r="R9" s="15"/>
      <c r="S9" s="17">
        <f>SUM(D9,J9,L9,Q9)</f>
        <v>260000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1355465</v>
      </c>
      <c r="E10" s="38"/>
      <c r="F10" s="38">
        <f t="shared" ref="F10:S10" si="2">SUM(F6:F9)</f>
        <v>583990</v>
      </c>
      <c r="G10" s="38">
        <f t="shared" si="2"/>
        <v>25000</v>
      </c>
      <c r="H10" s="38"/>
      <c r="I10" s="38"/>
      <c r="J10" s="38">
        <f t="shared" si="2"/>
        <v>608990</v>
      </c>
      <c r="K10" s="38"/>
      <c r="L10" s="38">
        <f t="shared" si="2"/>
        <v>149525</v>
      </c>
      <c r="M10" s="22">
        <f t="shared" si="1"/>
        <v>2113980</v>
      </c>
      <c r="N10" s="38"/>
      <c r="O10" s="38">
        <f t="shared" si="2"/>
        <v>0</v>
      </c>
      <c r="P10" s="38">
        <f t="shared" si="2"/>
        <v>260000</v>
      </c>
      <c r="Q10" s="22">
        <f t="shared" si="2"/>
        <v>260000</v>
      </c>
      <c r="R10" s="38"/>
      <c r="S10" s="38">
        <f t="shared" si="2"/>
        <v>2373980</v>
      </c>
    </row>
    <row r="11" spans="1:19" ht="35.25" customHeight="1" x14ac:dyDescent="0.2">
      <c r="A11" s="13"/>
      <c r="B11" s="20"/>
      <c r="C11" s="14" t="s">
        <v>27</v>
      </c>
      <c r="D11" s="15">
        <v>15104</v>
      </c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6">
        <f t="shared" si="1"/>
        <v>15104</v>
      </c>
      <c r="N11" s="15"/>
      <c r="O11" s="15"/>
      <c r="P11" s="15"/>
      <c r="Q11" s="16">
        <f>SUM(O11:P11)</f>
        <v>0</v>
      </c>
      <c r="R11" s="15"/>
      <c r="S11" s="17">
        <f>SUM(D11,J11,L11,Q11)</f>
        <v>15104</v>
      </c>
    </row>
    <row r="12" spans="1:19" ht="24" customHeight="1" x14ac:dyDescent="0.2">
      <c r="A12" s="13"/>
      <c r="B12" s="20"/>
      <c r="C12" s="14" t="s">
        <v>28</v>
      </c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>
        <v>4511</v>
      </c>
      <c r="M12" s="16">
        <f t="shared" si="1"/>
        <v>4511</v>
      </c>
      <c r="N12" s="15"/>
      <c r="O12" s="15"/>
      <c r="P12" s="15"/>
      <c r="Q12" s="16">
        <f>SUM(O12:P12)</f>
        <v>0</v>
      </c>
      <c r="R12" s="15"/>
      <c r="S12" s="17">
        <f>SUM(D12,J12,L12,Q12)</f>
        <v>4511</v>
      </c>
    </row>
    <row r="13" spans="1:19" ht="18" customHeight="1" x14ac:dyDescent="0.2">
      <c r="A13" s="13"/>
      <c r="B13" s="50"/>
      <c r="C13" s="14" t="s">
        <v>29</v>
      </c>
      <c r="D13" s="15">
        <v>-55365.73</v>
      </c>
      <c r="E13" s="15"/>
      <c r="F13" s="15">
        <f>-13587.24-18474.06-10916.67</f>
        <v>-42977.97</v>
      </c>
      <c r="G13" s="15">
        <v>-4753.3599999999997</v>
      </c>
      <c r="H13" s="15"/>
      <c r="I13" s="15"/>
      <c r="J13" s="15">
        <f t="shared" si="0"/>
        <v>-47731.33</v>
      </c>
      <c r="K13" s="15"/>
      <c r="L13" s="15">
        <f>73706.33+18474.06+10916.67</f>
        <v>103097.06</v>
      </c>
      <c r="M13" s="16">
        <f t="shared" si="1"/>
        <v>0</v>
      </c>
      <c r="N13" s="15"/>
      <c r="O13" s="15">
        <f>18474.06+10916.67</f>
        <v>29390.730000000003</v>
      </c>
      <c r="P13" s="15">
        <f>-18474.06-10916.67</f>
        <v>-29390.730000000003</v>
      </c>
      <c r="Q13" s="16">
        <f>SUM(O13:P13)</f>
        <v>0</v>
      </c>
      <c r="R13" s="15"/>
      <c r="S13" s="17">
        <f>SUM(D13,J13,L13,Q13)</f>
        <v>0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1315203.27</v>
      </c>
      <c r="E14" s="42"/>
      <c r="F14" s="42">
        <f t="shared" ref="F14:S14" si="3">SUM(F10:F13)</f>
        <v>541012.03</v>
      </c>
      <c r="G14" s="42">
        <f t="shared" si="3"/>
        <v>20246.64</v>
      </c>
      <c r="H14" s="42"/>
      <c r="I14" s="42"/>
      <c r="J14" s="42">
        <f t="shared" si="3"/>
        <v>561258.67000000004</v>
      </c>
      <c r="K14" s="42"/>
      <c r="L14" s="42">
        <f t="shared" si="3"/>
        <v>257133.06</v>
      </c>
      <c r="M14" s="22">
        <f t="shared" si="1"/>
        <v>2133595</v>
      </c>
      <c r="N14" s="42"/>
      <c r="O14" s="42">
        <f t="shared" si="3"/>
        <v>29390.730000000003</v>
      </c>
      <c r="P14" s="42">
        <f t="shared" si="3"/>
        <v>230609.27</v>
      </c>
      <c r="Q14" s="22">
        <f t="shared" si="3"/>
        <v>260000</v>
      </c>
      <c r="R14" s="42"/>
      <c r="S14" s="42">
        <f t="shared" si="3"/>
        <v>2393595</v>
      </c>
    </row>
    <row r="15" spans="1:19" s="28" customFormat="1" ht="18" customHeight="1" x14ac:dyDescent="0.2">
      <c r="A15" s="23"/>
      <c r="B15" s="24"/>
      <c r="C15" s="25" t="s">
        <v>53</v>
      </c>
      <c r="D15" s="26">
        <f>1315196.51-4700.52</f>
        <v>1310495.99</v>
      </c>
      <c r="E15" s="26"/>
      <c r="F15" s="26">
        <f>565677.78-24665.75-69.62</f>
        <v>540942.41</v>
      </c>
      <c r="G15" s="26">
        <f>19826.78+419.86-374.43</f>
        <v>19872.21</v>
      </c>
      <c r="H15" s="26"/>
      <c r="I15" s="26"/>
      <c r="J15" s="26">
        <f>SUM(F15:H15)</f>
        <v>560814.62</v>
      </c>
      <c r="K15" s="26"/>
      <c r="L15" s="26">
        <f>175785.85+76191.83+5155.38-10.81</f>
        <v>257122.25</v>
      </c>
      <c r="M15" s="27">
        <f>SUM(D15,J15,L15)</f>
        <v>2128432.86</v>
      </c>
      <c r="N15" s="26"/>
      <c r="O15" s="26">
        <f>84456.96-55066.23</f>
        <v>29390.730000000003</v>
      </c>
      <c r="P15" s="26">
        <f>232945.05-2335.78-0.27</f>
        <v>230609</v>
      </c>
      <c r="Q15" s="26">
        <f>SUM(O15:P15)</f>
        <v>259999.73</v>
      </c>
      <c r="R15" s="26"/>
      <c r="S15" s="26">
        <f>SUM(M15,Q15)</f>
        <v>2388432.59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4707.2800000000279</v>
      </c>
      <c r="E16" s="32"/>
      <c r="F16" s="32">
        <f>F14-F15</f>
        <v>69.619999999995343</v>
      </c>
      <c r="G16" s="32">
        <f>G14-G15</f>
        <v>374.43000000000029</v>
      </c>
      <c r="H16" s="32">
        <f>H14-H15</f>
        <v>0</v>
      </c>
      <c r="I16" s="32"/>
      <c r="J16" s="32">
        <f>J14-J15</f>
        <v>444.05000000004657</v>
      </c>
      <c r="K16" s="32"/>
      <c r="L16" s="32">
        <f>L14-L15</f>
        <v>10.809999999997672</v>
      </c>
      <c r="M16" s="33">
        <f>M14-M15</f>
        <v>5162.1400000001304</v>
      </c>
      <c r="N16" s="32"/>
      <c r="O16" s="32">
        <f>O14-O15</f>
        <v>0</v>
      </c>
      <c r="P16" s="32">
        <f>P14-P15</f>
        <v>0.26999999998952262</v>
      </c>
      <c r="Q16" s="32">
        <f>Q14-Q15</f>
        <v>0.26999999998952262</v>
      </c>
      <c r="R16" s="32"/>
      <c r="S16" s="32">
        <f>S14-S15</f>
        <v>5162.410000000149</v>
      </c>
    </row>
    <row r="17" spans="1:19" s="8" customFormat="1" ht="18" customHeight="1" x14ac:dyDescent="0.2">
      <c r="A17" s="35"/>
      <c r="B17" s="3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9" spans="1:19" s="8" customFormat="1" ht="23.25" customHeight="1" x14ac:dyDescent="0.2">
      <c r="A19" s="7"/>
      <c r="B19" s="60" t="s">
        <v>98</v>
      </c>
      <c r="C19" s="61" t="s">
        <v>99</v>
      </c>
      <c r="D19" s="62" t="s">
        <v>100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5" x14ac:dyDescent="0.2">
      <c r="B20" s="60">
        <v>2006</v>
      </c>
      <c r="C20" s="71" t="s">
        <v>119</v>
      </c>
      <c r="D20" s="75">
        <v>260000</v>
      </c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75" zoomScaleSheetLayoutView="75" workbookViewId="0">
      <selection activeCell="G7" sqref="G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5.140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2007</v>
      </c>
      <c r="B6" s="13" t="s">
        <v>7</v>
      </c>
      <c r="C6" s="14" t="s">
        <v>8</v>
      </c>
      <c r="D6" s="15">
        <f>219355+63900</f>
        <v>283255</v>
      </c>
      <c r="E6" s="15"/>
      <c r="F6" s="15">
        <v>58715</v>
      </c>
      <c r="G6" s="15">
        <v>4680</v>
      </c>
      <c r="H6" s="15"/>
      <c r="I6" s="15"/>
      <c r="J6" s="15">
        <f>SUM(F6:H6)</f>
        <v>63395</v>
      </c>
      <c r="K6" s="15"/>
      <c r="L6" s="15">
        <v>1420</v>
      </c>
      <c r="M6" s="16">
        <f t="shared" ref="M6:M13" si="0">SUM(D6,J6,L6)</f>
        <v>348070</v>
      </c>
      <c r="N6" s="15"/>
      <c r="O6" s="15"/>
      <c r="P6" s="15"/>
      <c r="Q6" s="16">
        <f>SUM(O6:P6)</f>
        <v>0</v>
      </c>
      <c r="R6" s="15"/>
      <c r="S6" s="17">
        <f>SUM(D6,J6,L6,Q6)</f>
        <v>348070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317925</v>
      </c>
      <c r="E7" s="15"/>
      <c r="F7" s="15">
        <v>99650</v>
      </c>
      <c r="G7" s="15">
        <v>6425</v>
      </c>
      <c r="H7" s="15"/>
      <c r="I7" s="15"/>
      <c r="J7" s="15">
        <f>SUM(F7:H7)</f>
        <v>106075</v>
      </c>
      <c r="K7" s="15"/>
      <c r="L7" s="15">
        <v>5440</v>
      </c>
      <c r="M7" s="16">
        <f t="shared" si="0"/>
        <v>429440</v>
      </c>
      <c r="N7" s="15"/>
      <c r="O7" s="15"/>
      <c r="P7" s="15"/>
      <c r="Q7" s="16">
        <f>SUM(O7:P7)</f>
        <v>0</v>
      </c>
      <c r="R7" s="15"/>
      <c r="S7" s="17">
        <f>SUM(D7,J7,L7,Q7)</f>
        <v>429440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1016275</v>
      </c>
      <c r="E8" s="15"/>
      <c r="F8" s="15">
        <v>369040</v>
      </c>
      <c r="G8" s="15">
        <v>22025</v>
      </c>
      <c r="H8" s="15"/>
      <c r="I8" s="15"/>
      <c r="J8" s="15">
        <f>SUM(F8:H8)</f>
        <v>391065</v>
      </c>
      <c r="K8" s="15"/>
      <c r="L8" s="15">
        <v>6640</v>
      </c>
      <c r="M8" s="16">
        <f t="shared" si="0"/>
        <v>1413980</v>
      </c>
      <c r="N8" s="15"/>
      <c r="O8" s="15"/>
      <c r="P8" s="15"/>
      <c r="Q8" s="16">
        <f>SUM(O8:P8)</f>
        <v>0</v>
      </c>
      <c r="R8" s="15"/>
      <c r="S8" s="17">
        <f>SUM(D8,J8,L8,Q8)</f>
        <v>1413980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>SUM(F9:H9)</f>
        <v>0</v>
      </c>
      <c r="K9" s="15"/>
      <c r="L9" s="15"/>
      <c r="M9" s="16">
        <f t="shared" si="0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1617455</v>
      </c>
      <c r="E10" s="38"/>
      <c r="F10" s="38">
        <f t="shared" ref="F10:S10" si="1">SUM(F6:F9)</f>
        <v>527405</v>
      </c>
      <c r="G10" s="38">
        <f t="shared" si="1"/>
        <v>33130</v>
      </c>
      <c r="H10" s="38"/>
      <c r="I10" s="38"/>
      <c r="J10" s="38">
        <f>SUM(J6:J9)</f>
        <v>560535</v>
      </c>
      <c r="K10" s="38"/>
      <c r="L10" s="38">
        <f t="shared" si="1"/>
        <v>13500</v>
      </c>
      <c r="M10" s="22">
        <f t="shared" si="0"/>
        <v>2191490</v>
      </c>
      <c r="N10" s="38"/>
      <c r="O10" s="38">
        <f t="shared" si="1"/>
        <v>0</v>
      </c>
      <c r="P10" s="38">
        <f t="shared" si="1"/>
        <v>0</v>
      </c>
      <c r="Q10" s="22">
        <f t="shared" si="1"/>
        <v>0</v>
      </c>
      <c r="R10" s="38"/>
      <c r="S10" s="38">
        <f t="shared" si="1"/>
        <v>2191490</v>
      </c>
    </row>
    <row r="11" spans="1:19" ht="35.25" customHeight="1" x14ac:dyDescent="0.2">
      <c r="A11" s="13"/>
      <c r="B11" s="20"/>
      <c r="C11" s="1" t="s">
        <v>67</v>
      </c>
      <c r="D11" s="15">
        <v>-29812</v>
      </c>
      <c r="E11" s="15"/>
      <c r="F11" s="15"/>
      <c r="G11" s="15"/>
      <c r="H11" s="15"/>
      <c r="I11" s="15"/>
      <c r="J11" s="15">
        <f>SUM(F11:H11)</f>
        <v>0</v>
      </c>
      <c r="K11" s="15"/>
      <c r="L11" s="15"/>
      <c r="M11" s="16">
        <f t="shared" si="0"/>
        <v>-29812</v>
      </c>
      <c r="N11" s="15"/>
      <c r="O11" s="15"/>
      <c r="P11" s="15"/>
      <c r="Q11" s="16">
        <f>SUM(O11:P11)</f>
        <v>0</v>
      </c>
      <c r="R11" s="15"/>
      <c r="S11" s="17">
        <f>SUM(D11,J11,L11,Q11)</f>
        <v>-29812</v>
      </c>
    </row>
    <row r="12" spans="1:19" ht="18" customHeight="1" x14ac:dyDescent="0.2">
      <c r="A12" s="13"/>
      <c r="B12" s="20"/>
      <c r="C12" s="14" t="s">
        <v>29</v>
      </c>
      <c r="D12" s="15">
        <v>-100740.55</v>
      </c>
      <c r="E12" s="15"/>
      <c r="F12" s="15">
        <f>3989.09+12000-12000</f>
        <v>3989.09</v>
      </c>
      <c r="G12" s="15">
        <v>-4802.8100000000004</v>
      </c>
      <c r="H12" s="15">
        <v>12000</v>
      </c>
      <c r="I12" s="15"/>
      <c r="J12" s="15">
        <f>SUM(F12:I12)</f>
        <v>11186.279999999999</v>
      </c>
      <c r="K12" s="15"/>
      <c r="L12" s="15">
        <v>89554.27</v>
      </c>
      <c r="M12" s="16">
        <f t="shared" si="0"/>
        <v>0</v>
      </c>
      <c r="N12" s="15"/>
      <c r="O12" s="15"/>
      <c r="P12" s="15"/>
      <c r="Q12" s="16">
        <f>SUM(O12:P12)</f>
        <v>0</v>
      </c>
      <c r="R12" s="15"/>
      <c r="S12" s="17">
        <f>SUM(D12,J12,L12,Q12)</f>
        <v>0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1486902.45</v>
      </c>
      <c r="E13" s="42"/>
      <c r="F13" s="42">
        <f t="shared" ref="F13:S13" si="2">SUM(F10:F12)</f>
        <v>531394.09</v>
      </c>
      <c r="G13" s="42">
        <f t="shared" si="2"/>
        <v>28327.19</v>
      </c>
      <c r="H13" s="42">
        <f t="shared" si="2"/>
        <v>12000</v>
      </c>
      <c r="I13" s="42"/>
      <c r="J13" s="42">
        <f t="shared" si="2"/>
        <v>571721.28</v>
      </c>
      <c r="K13" s="42"/>
      <c r="L13" s="42">
        <f t="shared" si="2"/>
        <v>103054.27</v>
      </c>
      <c r="M13" s="22">
        <f t="shared" si="0"/>
        <v>2161678</v>
      </c>
      <c r="N13" s="42"/>
      <c r="O13" s="42">
        <f t="shared" si="2"/>
        <v>0</v>
      </c>
      <c r="P13" s="42">
        <f t="shared" si="2"/>
        <v>0</v>
      </c>
      <c r="Q13" s="22">
        <f t="shared" si="2"/>
        <v>0</v>
      </c>
      <c r="R13" s="42"/>
      <c r="S13" s="42">
        <f t="shared" si="2"/>
        <v>2161678</v>
      </c>
    </row>
    <row r="14" spans="1:19" s="28" customFormat="1" ht="18" customHeight="1" x14ac:dyDescent="0.2">
      <c r="A14" s="23"/>
      <c r="B14" s="24"/>
      <c r="C14" s="25" t="s">
        <v>53</v>
      </c>
      <c r="D14" s="26">
        <v>1479293.67</v>
      </c>
      <c r="E14" s="26"/>
      <c r="F14" s="26">
        <v>531394.09</v>
      </c>
      <c r="G14" s="26">
        <v>28327.19</v>
      </c>
      <c r="H14" s="26">
        <v>12000</v>
      </c>
      <c r="I14" s="26"/>
      <c r="J14" s="26">
        <f>SUM(F14:H14)</f>
        <v>571721.27999999991</v>
      </c>
      <c r="K14" s="26"/>
      <c r="L14" s="26">
        <v>103054.27</v>
      </c>
      <c r="M14" s="27">
        <f>SUM(D14,J14,L14)</f>
        <v>2154069.2199999997</v>
      </c>
      <c r="N14" s="26"/>
      <c r="O14" s="26"/>
      <c r="P14" s="26"/>
      <c r="Q14" s="26">
        <f>SUM(O14:P14)</f>
        <v>0</v>
      </c>
      <c r="R14" s="26"/>
      <c r="S14" s="26">
        <f>SUM(M14,Q14)</f>
        <v>2154069.2199999997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7608.7800000000279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7608.7800000002608</v>
      </c>
      <c r="N15" s="32"/>
      <c r="O15" s="32">
        <f>O13-O14</f>
        <v>0</v>
      </c>
      <c r="P15" s="32">
        <f>P13-P14</f>
        <v>0</v>
      </c>
      <c r="Q15" s="32">
        <f>Q13-Q14</f>
        <v>0</v>
      </c>
      <c r="R15" s="32"/>
      <c r="S15" s="32">
        <f>S13-S14</f>
        <v>7608.7800000002608</v>
      </c>
    </row>
    <row r="16" spans="1:19" s="8" customFormat="1" ht="18" customHeight="1" x14ac:dyDescent="0.2">
      <c r="A16" s="35"/>
      <c r="B16" s="35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8" customFormat="1" ht="18" customHeight="1" x14ac:dyDescent="0.2">
      <c r="A17" s="7"/>
      <c r="B17" s="7"/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</row>
    <row r="18" spans="1:19" s="8" customFormat="1" ht="18" customHeight="1" x14ac:dyDescent="0.2">
      <c r="A18" s="7"/>
      <c r="B18" s="7" t="s">
        <v>45</v>
      </c>
      <c r="C18" s="252" t="s">
        <v>87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</row>
    <row r="19" spans="1:19" s="8" customFormat="1" ht="12.75" customHeight="1" x14ac:dyDescent="0.2">
      <c r="A19" s="7"/>
      <c r="B19" s="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8" customFormat="1" ht="12.75" customHeight="1" x14ac:dyDescent="0.2">
      <c r="A20" s="7"/>
      <c r="B20" s="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s="8" customFormat="1" ht="12.75" customHeight="1" x14ac:dyDescent="0.2">
      <c r="A21" s="7"/>
      <c r="B21" s="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2.75" customHeight="1" x14ac:dyDescent="0.2"/>
    <row r="23" spans="1:19" ht="12.75" customHeight="1" x14ac:dyDescent="0.2"/>
    <row r="24" spans="1:19" ht="12.75" customHeight="1" x14ac:dyDescent="0.2"/>
    <row r="25" spans="1:19" ht="12.75" customHeight="1" x14ac:dyDescent="0.2"/>
    <row r="26" spans="1:19" s="19" customFormat="1" ht="12.75" customHeight="1" x14ac:dyDescent="0.2">
      <c r="C26" s="57"/>
      <c r="D26" s="2"/>
      <c r="E26" s="2"/>
      <c r="F26" s="2"/>
      <c r="G26" s="2"/>
      <c r="H26" s="2"/>
      <c r="I26" s="2"/>
      <c r="J26" s="2"/>
      <c r="K26" s="2"/>
      <c r="L26" s="2"/>
      <c r="M26" s="58"/>
      <c r="N26" s="2"/>
      <c r="O26" s="2"/>
      <c r="P26" s="2"/>
      <c r="Q26" s="58"/>
      <c r="R26" s="2"/>
      <c r="S26" s="58"/>
    </row>
    <row r="27" spans="1:19" s="19" customFormat="1" ht="12.75" customHeight="1" x14ac:dyDescent="0.2">
      <c r="C27" s="57"/>
      <c r="D27" s="2"/>
      <c r="E27" s="2"/>
      <c r="F27" s="2"/>
      <c r="G27" s="2"/>
      <c r="H27" s="2"/>
      <c r="I27" s="2"/>
      <c r="J27" s="2"/>
      <c r="K27" s="2"/>
      <c r="L27" s="2"/>
      <c r="M27" s="58"/>
      <c r="N27" s="2"/>
      <c r="O27" s="2"/>
      <c r="P27" s="2"/>
      <c r="Q27" s="58"/>
      <c r="R27" s="2"/>
      <c r="S27" s="58"/>
    </row>
  </sheetData>
  <sheetProtection password="C96C" sheet="1" objects="1" scenarios="1" selectLockedCells="1" selectUnlockedCells="1"/>
  <mergeCells count="22">
    <mergeCell ref="C17:S17"/>
    <mergeCell ref="C18:S18"/>
    <mergeCell ref="H4:H5"/>
    <mergeCell ref="I4:I5"/>
    <mergeCell ref="J4:J5"/>
    <mergeCell ref="K4:K5"/>
    <mergeCell ref="R4:R5"/>
    <mergeCell ref="S4:S5"/>
    <mergeCell ref="O4:P4"/>
    <mergeCell ref="Q4:Q5"/>
    <mergeCell ref="L4:L5"/>
    <mergeCell ref="M4:M5"/>
    <mergeCell ref="F4:F5"/>
    <mergeCell ref="G4:G5"/>
    <mergeCell ref="D4:D5"/>
    <mergeCell ref="E4:E5"/>
    <mergeCell ref="B1:S1"/>
    <mergeCell ref="A2:S2"/>
    <mergeCell ref="B3:S3"/>
    <mergeCell ref="A4:A5"/>
    <mergeCell ref="B4:B5"/>
    <mergeCell ref="C4:C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B7" zoomScaleNormal="75" zoomScaleSheetLayoutView="75" workbookViewId="0">
      <selection activeCell="L23" sqref="L23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8.28515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2008</v>
      </c>
      <c r="B6" s="13" t="s">
        <v>7</v>
      </c>
      <c r="C6" s="14" t="s">
        <v>8</v>
      </c>
      <c r="D6" s="15">
        <v>283710</v>
      </c>
      <c r="E6" s="15"/>
      <c r="F6" s="15">
        <v>50445</v>
      </c>
      <c r="G6" s="15">
        <v>3820</v>
      </c>
      <c r="H6" s="15"/>
      <c r="I6" s="15"/>
      <c r="J6" s="15">
        <f>SUM(F6:H6)</f>
        <v>54265</v>
      </c>
      <c r="K6" s="15"/>
      <c r="L6" s="15"/>
      <c r="M6" s="16">
        <f t="shared" ref="M6:M15" si="0">SUM(D6,J6,L6)</f>
        <v>337975</v>
      </c>
      <c r="N6" s="15"/>
      <c r="O6" s="15"/>
      <c r="P6" s="15"/>
      <c r="Q6" s="16">
        <f>SUM(O6:P6)</f>
        <v>0</v>
      </c>
      <c r="R6" s="15"/>
      <c r="S6" s="17">
        <f>SUM(D6,J6,L6,Q6)</f>
        <v>337975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318545</v>
      </c>
      <c r="E7" s="15"/>
      <c r="F7" s="15">
        <v>128925</v>
      </c>
      <c r="G7" s="15">
        <v>5185</v>
      </c>
      <c r="H7" s="15"/>
      <c r="I7" s="15"/>
      <c r="J7" s="15">
        <f t="shared" ref="J7:J14" si="1">SUM(F7:H7)</f>
        <v>134110</v>
      </c>
      <c r="K7" s="15"/>
      <c r="L7" s="15">
        <v>2000</v>
      </c>
      <c r="M7" s="16">
        <f t="shared" si="0"/>
        <v>454655</v>
      </c>
      <c r="N7" s="15"/>
      <c r="O7" s="15"/>
      <c r="P7" s="15"/>
      <c r="Q7" s="16">
        <f>SUM(O7:P7)</f>
        <v>0</v>
      </c>
      <c r="R7" s="15"/>
      <c r="S7" s="17">
        <f>SUM(D7,J7,L7,Q7)</f>
        <v>454655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1018895</v>
      </c>
      <c r="E8" s="15"/>
      <c r="F8" s="15">
        <v>361615</v>
      </c>
      <c r="G8" s="15">
        <v>22045</v>
      </c>
      <c r="H8" s="15"/>
      <c r="I8" s="15"/>
      <c r="J8" s="15">
        <f t="shared" si="1"/>
        <v>383660</v>
      </c>
      <c r="K8" s="15"/>
      <c r="L8" s="15">
        <v>0</v>
      </c>
      <c r="M8" s="16">
        <f t="shared" si="0"/>
        <v>1402555</v>
      </c>
      <c r="N8" s="15"/>
      <c r="O8" s="15"/>
      <c r="P8" s="15"/>
      <c r="Q8" s="16">
        <f>SUM(O8:P8)</f>
        <v>0</v>
      </c>
      <c r="R8" s="15"/>
      <c r="S8" s="17">
        <f>SUM(D8,J8,L8,Q8)</f>
        <v>1402555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1621150</v>
      </c>
      <c r="E10" s="38"/>
      <c r="F10" s="38">
        <f>SUM(F6:F9)</f>
        <v>540985</v>
      </c>
      <c r="G10" s="38">
        <f>SUM(G6:G9)</f>
        <v>31050</v>
      </c>
      <c r="H10" s="38">
        <f>SUM(H6:H9)</f>
        <v>0</v>
      </c>
      <c r="I10" s="38"/>
      <c r="J10" s="38">
        <f t="shared" si="1"/>
        <v>572035</v>
      </c>
      <c r="K10" s="38"/>
      <c r="L10" s="38">
        <f>SUM(L6:L9)</f>
        <v>2000</v>
      </c>
      <c r="M10" s="22">
        <f t="shared" si="0"/>
        <v>2195185</v>
      </c>
      <c r="N10" s="38"/>
      <c r="O10" s="38">
        <f>SUM(O6:O9)</f>
        <v>0</v>
      </c>
      <c r="P10" s="38">
        <f>SUM(P6:P9)</f>
        <v>0</v>
      </c>
      <c r="Q10" s="22">
        <f>SUM(Q6:Q9)</f>
        <v>0</v>
      </c>
      <c r="R10" s="38"/>
      <c r="S10" s="38">
        <f>SUM(S6:S9)</f>
        <v>2195185</v>
      </c>
    </row>
    <row r="11" spans="1:19" ht="35.25" customHeight="1" x14ac:dyDescent="0.2">
      <c r="A11" s="13"/>
      <c r="B11" s="20"/>
      <c r="C11" s="1" t="s">
        <v>68</v>
      </c>
      <c r="D11" s="15">
        <v>25353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25353</v>
      </c>
      <c r="N11" s="15"/>
      <c r="O11" s="15"/>
      <c r="P11" s="15"/>
      <c r="Q11" s="16">
        <f>SUM(O11:P11)</f>
        <v>0</v>
      </c>
      <c r="R11" s="15"/>
      <c r="S11" s="17">
        <f>SUM(D11,J11,L11,Q11)</f>
        <v>25353</v>
      </c>
    </row>
    <row r="12" spans="1:19" ht="35.25" customHeight="1" x14ac:dyDescent="0.2">
      <c r="A12" s="13"/>
      <c r="B12" s="20"/>
      <c r="C12" s="1" t="s">
        <v>69</v>
      </c>
      <c r="D12" s="15">
        <v>17349</v>
      </c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6">
        <f t="shared" si="0"/>
        <v>17349</v>
      </c>
      <c r="N12" s="15"/>
      <c r="O12" s="15"/>
      <c r="P12" s="15"/>
      <c r="Q12" s="16">
        <f>SUM(O12:P12)</f>
        <v>0</v>
      </c>
      <c r="R12" s="15"/>
      <c r="S12" s="17">
        <f>SUM(D12,J12,L12,Q12)</f>
        <v>17349</v>
      </c>
    </row>
    <row r="13" spans="1:19" ht="34.5" customHeight="1" x14ac:dyDescent="0.2">
      <c r="A13" s="13"/>
      <c r="B13" s="20"/>
      <c r="C13" s="1" t="s">
        <v>47</v>
      </c>
      <c r="D13" s="15">
        <v>-12201</v>
      </c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6">
        <f t="shared" si="0"/>
        <v>-12201</v>
      </c>
      <c r="N13" s="15"/>
      <c r="O13" s="15"/>
      <c r="P13" s="15"/>
      <c r="Q13" s="16"/>
      <c r="R13" s="15"/>
      <c r="S13" s="17">
        <f>SUM(D13,J13,L13,Q13)</f>
        <v>-12201</v>
      </c>
    </row>
    <row r="14" spans="1:19" ht="18" customHeight="1" x14ac:dyDescent="0.2">
      <c r="A14" s="13"/>
      <c r="B14" s="20"/>
      <c r="C14" s="14" t="s">
        <v>29</v>
      </c>
      <c r="D14" s="15">
        <v>-57185.52</v>
      </c>
      <c r="E14" s="15"/>
      <c r="F14" s="15">
        <f>31819.17+12000-12000</f>
        <v>31819.17</v>
      </c>
      <c r="G14" s="15">
        <v>-2650.13</v>
      </c>
      <c r="H14" s="15">
        <v>12000</v>
      </c>
      <c r="I14" s="15"/>
      <c r="J14" s="15">
        <f t="shared" si="1"/>
        <v>41169.039999999994</v>
      </c>
      <c r="K14" s="15"/>
      <c r="L14" s="15">
        <v>16016.48</v>
      </c>
      <c r="M14" s="16">
        <f t="shared" si="0"/>
        <v>0</v>
      </c>
      <c r="N14" s="15"/>
      <c r="O14" s="15"/>
      <c r="P14" s="15"/>
      <c r="Q14" s="16">
        <f>SUM(O14:P14)</f>
        <v>0</v>
      </c>
      <c r="R14" s="15"/>
      <c r="S14" s="17">
        <f>SUM(D14,J14,L14,Q14)</f>
        <v>-3.637978807091713E-12</v>
      </c>
    </row>
    <row r="15" spans="1:19" s="8" customFormat="1" ht="18" customHeight="1" x14ac:dyDescent="0.2">
      <c r="A15" s="35"/>
      <c r="B15" s="35"/>
      <c r="C15" s="21" t="s">
        <v>52</v>
      </c>
      <c r="D15" s="42">
        <f>SUM(D10:D14)</f>
        <v>1594465.48</v>
      </c>
      <c r="E15" s="42"/>
      <c r="F15" s="42">
        <f>SUM(F10:F14)</f>
        <v>572804.17000000004</v>
      </c>
      <c r="G15" s="42">
        <f>SUM(G10:G14)</f>
        <v>28399.87</v>
      </c>
      <c r="H15" s="42">
        <f>SUM(H10:H14)</f>
        <v>12000</v>
      </c>
      <c r="I15" s="42"/>
      <c r="J15" s="42">
        <f>SUM(F15:H15)</f>
        <v>613204.04</v>
      </c>
      <c r="K15" s="42"/>
      <c r="L15" s="42">
        <f>SUM(L10:L14)</f>
        <v>18016.48</v>
      </c>
      <c r="M15" s="22">
        <f t="shared" si="0"/>
        <v>2225686</v>
      </c>
      <c r="N15" s="42"/>
      <c r="O15" s="42">
        <f>SUM(O10:O14)</f>
        <v>0</v>
      </c>
      <c r="P15" s="42">
        <f>SUM(P10:P14)</f>
        <v>0</v>
      </c>
      <c r="Q15" s="22">
        <f>SUM(Q10:Q14)</f>
        <v>0</v>
      </c>
      <c r="R15" s="42"/>
      <c r="S15" s="42">
        <f>SUM(S10:S14)</f>
        <v>2225686</v>
      </c>
    </row>
    <row r="16" spans="1:19" s="28" customFormat="1" ht="18" customHeight="1" x14ac:dyDescent="0.2">
      <c r="A16" s="23"/>
      <c r="B16" s="24"/>
      <c r="C16" s="25" t="s">
        <v>53</v>
      </c>
      <c r="D16" s="26">
        <v>1593279.68</v>
      </c>
      <c r="E16" s="26"/>
      <c r="F16" s="26">
        <v>572804.17000000004</v>
      </c>
      <c r="G16" s="26">
        <v>28374.87</v>
      </c>
      <c r="H16" s="26">
        <v>12000</v>
      </c>
      <c r="I16" s="26"/>
      <c r="J16" s="26">
        <f>SUM(F16:H16)</f>
        <v>613179.04</v>
      </c>
      <c r="K16" s="26"/>
      <c r="L16" s="26">
        <v>18016.48</v>
      </c>
      <c r="M16" s="27">
        <f>SUM(D16,J16,L16)</f>
        <v>2224475.1999999997</v>
      </c>
      <c r="N16" s="26"/>
      <c r="O16" s="26"/>
      <c r="P16" s="26"/>
      <c r="Q16" s="26">
        <f>SUM(O16:P16)</f>
        <v>0</v>
      </c>
      <c r="R16" s="26"/>
      <c r="S16" s="26">
        <f>SUM(M16,Q16)</f>
        <v>2224475.1999999997</v>
      </c>
    </row>
    <row r="17" spans="1:22" s="34" customFormat="1" ht="18" customHeight="1" x14ac:dyDescent="0.2">
      <c r="A17" s="29"/>
      <c r="B17" s="30"/>
      <c r="C17" s="31" t="s">
        <v>50</v>
      </c>
      <c r="D17" s="32">
        <f>D15-D16</f>
        <v>1185.8000000000466</v>
      </c>
      <c r="E17" s="32"/>
      <c r="F17" s="32">
        <f>F15-F16</f>
        <v>0</v>
      </c>
      <c r="G17" s="32">
        <f>G15-G16</f>
        <v>25</v>
      </c>
      <c r="H17" s="32">
        <f>H15-H16</f>
        <v>0</v>
      </c>
      <c r="I17" s="32"/>
      <c r="J17" s="32">
        <f>J15-J16</f>
        <v>25</v>
      </c>
      <c r="K17" s="32"/>
      <c r="L17" s="32">
        <f>L15-L16</f>
        <v>0</v>
      </c>
      <c r="M17" s="33">
        <f>M15-M16</f>
        <v>1210.8000000002794</v>
      </c>
      <c r="N17" s="32"/>
      <c r="O17" s="32">
        <f>O15-O16</f>
        <v>0</v>
      </c>
      <c r="P17" s="32">
        <f>P15-P16</f>
        <v>0</v>
      </c>
      <c r="Q17" s="32">
        <f>Q15-Q16</f>
        <v>0</v>
      </c>
      <c r="R17" s="32"/>
      <c r="S17" s="32">
        <f>S15-S16</f>
        <v>1210.8000000002794</v>
      </c>
    </row>
    <row r="18" spans="1:22" s="54" customFormat="1" ht="18" customHeight="1" x14ac:dyDescent="0.2">
      <c r="A18" s="51"/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s="8" customFormat="1" ht="18" customHeight="1" x14ac:dyDescent="0.2">
      <c r="A19" s="7"/>
      <c r="B19" s="7" t="s">
        <v>45</v>
      </c>
      <c r="C19" s="252" t="s">
        <v>90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</row>
    <row r="20" spans="1:22" s="8" customFormat="1" ht="12.75" customHeight="1" x14ac:dyDescent="0.2">
      <c r="A20" s="7"/>
      <c r="B20" s="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22" s="8" customFormat="1" ht="12.75" customHeight="1" x14ac:dyDescent="0.2">
      <c r="A21" s="7"/>
      <c r="B21" s="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22" ht="12.75" customHeight="1" x14ac:dyDescent="0.2"/>
    <row r="23" spans="1:22" ht="12.75" customHeight="1" x14ac:dyDescent="0.2"/>
    <row r="24" spans="1:22" ht="12.75" customHeight="1" x14ac:dyDescent="0.2"/>
    <row r="25" spans="1:22" ht="12.75" customHeight="1" x14ac:dyDescent="0.2"/>
    <row r="26" spans="1:22" s="19" customFormat="1" ht="12.75" customHeight="1" x14ac:dyDescent="0.2">
      <c r="C26" s="57"/>
      <c r="D26" s="2"/>
      <c r="E26" s="2"/>
      <c r="F26" s="2"/>
      <c r="G26" s="2"/>
      <c r="H26" s="2"/>
      <c r="I26" s="2"/>
      <c r="J26" s="2"/>
      <c r="K26" s="2"/>
      <c r="L26" s="2"/>
      <c r="M26" s="58"/>
      <c r="N26" s="2"/>
      <c r="O26" s="2"/>
      <c r="P26" s="2"/>
      <c r="Q26" s="58"/>
      <c r="R26" s="2"/>
      <c r="S26" s="58"/>
    </row>
    <row r="27" spans="1:22" s="19" customFormat="1" ht="12.75" customHeight="1" x14ac:dyDescent="0.2">
      <c r="C27" s="57"/>
      <c r="D27" s="2"/>
      <c r="E27" s="2"/>
      <c r="F27" s="2"/>
      <c r="G27" s="2"/>
      <c r="H27" s="2"/>
      <c r="I27" s="2"/>
      <c r="J27" s="2"/>
      <c r="K27" s="2"/>
      <c r="L27" s="2"/>
      <c r="M27" s="58"/>
      <c r="N27" s="2"/>
      <c r="O27" s="2"/>
      <c r="P27" s="2"/>
      <c r="Q27" s="58"/>
      <c r="R27" s="2"/>
      <c r="S27" s="58"/>
    </row>
  </sheetData>
  <sheetProtection password="C96C" sheet="1" objects="1" scenarios="1" selectLockedCells="1" selectUnlockedCells="1"/>
  <mergeCells count="21">
    <mergeCell ref="C19:S19"/>
    <mergeCell ref="H4:H5"/>
    <mergeCell ref="I4:I5"/>
    <mergeCell ref="J4:J5"/>
    <mergeCell ref="K4:K5"/>
    <mergeCell ref="G4:G5"/>
    <mergeCell ref="M4:M5"/>
    <mergeCell ref="L4:L5"/>
    <mergeCell ref="R4:R5"/>
    <mergeCell ref="O4:P4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Q4:Q5"/>
    <mergeCell ref="S4:S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B1" zoomScaleNormal="75" zoomScaleSheetLayoutView="75" workbookViewId="0">
      <selection activeCell="J27" sqref="J2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5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2009</v>
      </c>
      <c r="B6" s="13" t="s">
        <v>7</v>
      </c>
      <c r="C6" s="14" t="s">
        <v>8</v>
      </c>
      <c r="D6" s="15">
        <v>296005</v>
      </c>
      <c r="E6" s="15"/>
      <c r="F6" s="15">
        <v>45455</v>
      </c>
      <c r="G6" s="15">
        <v>4015</v>
      </c>
      <c r="H6" s="15"/>
      <c r="I6" s="15"/>
      <c r="J6" s="15">
        <f>SUM(F6,G6,H6)</f>
        <v>49470</v>
      </c>
      <c r="K6" s="15"/>
      <c r="L6" s="15"/>
      <c r="M6" s="16">
        <f t="shared" ref="M6:M13" si="0">SUM(D6,J6,L6)</f>
        <v>345475</v>
      </c>
      <c r="N6" s="15"/>
      <c r="O6" s="15"/>
      <c r="P6" s="15"/>
      <c r="Q6" s="16">
        <f>SUM(O6:P6)</f>
        <v>0</v>
      </c>
      <c r="R6" s="15"/>
      <c r="S6" s="17">
        <f>SUM(D6,J6,L6,Q6)</f>
        <v>345475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336300</v>
      </c>
      <c r="E7" s="15"/>
      <c r="F7" s="15">
        <v>109645</v>
      </c>
      <c r="G7" s="15">
        <v>5450</v>
      </c>
      <c r="H7" s="15"/>
      <c r="I7" s="15"/>
      <c r="J7" s="15">
        <f t="shared" ref="J7:J13" si="1">SUM(F7,G7,H7)</f>
        <v>115095</v>
      </c>
      <c r="K7" s="15"/>
      <c r="L7" s="15">
        <v>2000</v>
      </c>
      <c r="M7" s="16">
        <f t="shared" si="0"/>
        <v>453395</v>
      </c>
      <c r="N7" s="15"/>
      <c r="O7" s="15"/>
      <c r="P7" s="15"/>
      <c r="Q7" s="16">
        <f>SUM(O7:P7)</f>
        <v>0</v>
      </c>
      <c r="R7" s="15"/>
      <c r="S7" s="17">
        <f>SUM(D7,J7,L7,Q7)</f>
        <v>453395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1165290</v>
      </c>
      <c r="E8" s="15"/>
      <c r="F8" s="15">
        <v>316485</v>
      </c>
      <c r="G8" s="15">
        <v>20175</v>
      </c>
      <c r="H8" s="15"/>
      <c r="I8" s="15"/>
      <c r="J8" s="15">
        <f t="shared" si="1"/>
        <v>336660</v>
      </c>
      <c r="K8" s="15"/>
      <c r="L8" s="15"/>
      <c r="M8" s="16">
        <f t="shared" si="0"/>
        <v>1501950</v>
      </c>
      <c r="N8" s="15"/>
      <c r="O8" s="15"/>
      <c r="P8" s="15"/>
      <c r="Q8" s="16">
        <f>SUM(O8:P8)</f>
        <v>0</v>
      </c>
      <c r="R8" s="15"/>
      <c r="S8" s="17">
        <f>SUM(D8,J8,L8,Q8)</f>
        <v>1501950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>
        <v>213930</v>
      </c>
      <c r="Q9" s="16">
        <f>SUM(O9:P9)</f>
        <v>213930</v>
      </c>
      <c r="R9" s="15"/>
      <c r="S9" s="17">
        <f>SUM(D9,J9,L9,Q9)</f>
        <v>213930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1797595</v>
      </c>
      <c r="E10" s="38"/>
      <c r="F10" s="38">
        <f>SUM(F6:F9)</f>
        <v>471585</v>
      </c>
      <c r="G10" s="38">
        <f>SUM(G6:G9)</f>
        <v>29640</v>
      </c>
      <c r="H10" s="38">
        <f>SUM(H6:H9)</f>
        <v>0</v>
      </c>
      <c r="I10" s="38"/>
      <c r="J10" s="38">
        <f t="shared" si="1"/>
        <v>501225</v>
      </c>
      <c r="K10" s="38"/>
      <c r="L10" s="38">
        <f>SUM(L6:L9)</f>
        <v>2000</v>
      </c>
      <c r="M10" s="22">
        <f t="shared" si="0"/>
        <v>2300820</v>
      </c>
      <c r="N10" s="38"/>
      <c r="O10" s="38">
        <f>SUM(O6:O9)</f>
        <v>0</v>
      </c>
      <c r="P10" s="38">
        <f>SUM(P6:P9)</f>
        <v>213930</v>
      </c>
      <c r="Q10" s="22">
        <f>SUM(Q6:Q9)</f>
        <v>213930</v>
      </c>
      <c r="R10" s="38"/>
      <c r="S10" s="38">
        <f>SUM(S6:S9)</f>
        <v>2514750</v>
      </c>
    </row>
    <row r="11" spans="1:19" ht="35.25" customHeight="1" x14ac:dyDescent="0.2">
      <c r="A11" s="13"/>
      <c r="B11" s="20"/>
      <c r="C11" s="1" t="s">
        <v>70</v>
      </c>
      <c r="D11" s="15">
        <v>-8557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-8557</v>
      </c>
      <c r="N11" s="15"/>
      <c r="O11" s="15"/>
      <c r="P11" s="15"/>
      <c r="Q11" s="16">
        <f>SUM(O11:P11)</f>
        <v>0</v>
      </c>
      <c r="R11" s="15"/>
      <c r="S11" s="17">
        <f>SUM(D11,J11,L11,Q11)</f>
        <v>-8557</v>
      </c>
    </row>
    <row r="12" spans="1:19" ht="18" customHeight="1" x14ac:dyDescent="0.2">
      <c r="A12" s="13"/>
      <c r="B12" s="20"/>
      <c r="C12" s="14" t="s">
        <v>29</v>
      </c>
      <c r="D12" s="15">
        <v>-52594.46</v>
      </c>
      <c r="E12" s="15"/>
      <c r="F12" s="15">
        <v>38090.1</v>
      </c>
      <c r="G12" s="15">
        <v>-5950.8</v>
      </c>
      <c r="H12" s="15">
        <v>12000</v>
      </c>
      <c r="I12" s="15"/>
      <c r="J12" s="15">
        <f t="shared" si="1"/>
        <v>44139.3</v>
      </c>
      <c r="K12" s="15"/>
      <c r="L12" s="15">
        <v>8455.16</v>
      </c>
      <c r="M12" s="16">
        <f t="shared" si="0"/>
        <v>0</v>
      </c>
      <c r="N12" s="15"/>
      <c r="O12" s="15">
        <v>18500.03</v>
      </c>
      <c r="P12" s="15">
        <v>-18500.03</v>
      </c>
      <c r="Q12" s="16">
        <f>SUM(O12:P12)</f>
        <v>0</v>
      </c>
      <c r="R12" s="15"/>
      <c r="S12" s="17">
        <f>SUM(D12,J12,L12,Q12)</f>
        <v>3.637978807091713E-12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1736443.54</v>
      </c>
      <c r="E13" s="42"/>
      <c r="F13" s="42">
        <f>SUM(F10:F12)</f>
        <v>509675.1</v>
      </c>
      <c r="G13" s="42">
        <f>SUM(G10:G12)</f>
        <v>23689.200000000001</v>
      </c>
      <c r="H13" s="42">
        <f>SUM(H10:H12)</f>
        <v>12000</v>
      </c>
      <c r="I13" s="42"/>
      <c r="J13" s="42">
        <f t="shared" si="1"/>
        <v>545364.29999999993</v>
      </c>
      <c r="K13" s="42"/>
      <c r="L13" s="42">
        <f>SUM(L10:L12)</f>
        <v>10455.16</v>
      </c>
      <c r="M13" s="22">
        <f t="shared" si="0"/>
        <v>2292263</v>
      </c>
      <c r="N13" s="42"/>
      <c r="O13" s="42">
        <f>SUM(O10:O12)</f>
        <v>18500.03</v>
      </c>
      <c r="P13" s="42">
        <f>SUM(P10:P12)</f>
        <v>195429.97</v>
      </c>
      <c r="Q13" s="22">
        <f>SUM(Q10:Q12)</f>
        <v>213930</v>
      </c>
      <c r="R13" s="42"/>
      <c r="S13" s="42">
        <f>SUM(S10:S12)</f>
        <v>2506193</v>
      </c>
    </row>
    <row r="14" spans="1:19" s="28" customFormat="1" ht="18" customHeight="1" x14ac:dyDescent="0.2">
      <c r="A14" s="23"/>
      <c r="B14" s="24"/>
      <c r="C14" s="25" t="s">
        <v>53</v>
      </c>
      <c r="D14" s="26">
        <v>1734611.66</v>
      </c>
      <c r="E14" s="26"/>
      <c r="F14" s="26">
        <v>509675.1</v>
      </c>
      <c r="G14" s="26">
        <v>23689.200000000001</v>
      </c>
      <c r="H14" s="26">
        <v>12000</v>
      </c>
      <c r="I14" s="26"/>
      <c r="J14" s="26">
        <f>SUM(F14:H14)</f>
        <v>545364.29999999993</v>
      </c>
      <c r="K14" s="26"/>
      <c r="L14" s="26">
        <v>10455.16</v>
      </c>
      <c r="M14" s="27">
        <f>SUM(D14,J14,L14)</f>
        <v>2290431.12</v>
      </c>
      <c r="N14" s="26"/>
      <c r="O14" s="26">
        <v>18499.98</v>
      </c>
      <c r="P14" s="26">
        <v>195429.97</v>
      </c>
      <c r="Q14" s="26">
        <f>SUM(O14:P14)</f>
        <v>213929.95</v>
      </c>
      <c r="R14" s="26"/>
      <c r="S14" s="26">
        <f>SUM(M14,Q14)</f>
        <v>2504361.0700000003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1831.8800000001211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1831.8799999998882</v>
      </c>
      <c r="N15" s="32"/>
      <c r="O15" s="32">
        <f>O13-O14</f>
        <v>4.9999999999272404E-2</v>
      </c>
      <c r="P15" s="32">
        <f>P13-P14</f>
        <v>0</v>
      </c>
      <c r="Q15" s="32">
        <f>Q13-Q14</f>
        <v>4.9999999988358468E-2</v>
      </c>
      <c r="R15" s="32"/>
      <c r="S15" s="32">
        <f>S13-S14</f>
        <v>1831.929999999702</v>
      </c>
    </row>
    <row r="16" spans="1:19" s="8" customFormat="1" ht="18" customHeight="1" x14ac:dyDescent="0.2">
      <c r="A16" s="7"/>
      <c r="B16" s="7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</row>
    <row r="17" spans="1:19" s="8" customFormat="1" ht="18" customHeight="1" x14ac:dyDescent="0.2">
      <c r="A17" s="7"/>
      <c r="B17" s="7" t="s">
        <v>45</v>
      </c>
      <c r="C17" s="252" t="s">
        <v>87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19" s="8" customFormat="1" ht="12.75" customHeight="1" x14ac:dyDescent="0.2">
      <c r="A18" s="7"/>
      <c r="B18" s="7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8" customFormat="1" ht="23.25" customHeight="1" x14ac:dyDescent="0.2">
      <c r="A19" s="7"/>
      <c r="B19" s="60" t="s">
        <v>98</v>
      </c>
      <c r="C19" s="61" t="s">
        <v>121</v>
      </c>
      <c r="D19" s="62" t="s">
        <v>100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5" x14ac:dyDescent="0.2">
      <c r="B20" s="232">
        <v>2009</v>
      </c>
      <c r="C20" s="71" t="s">
        <v>112</v>
      </c>
      <c r="D20" s="74">
        <v>120000</v>
      </c>
    </row>
    <row r="21" spans="1:19" ht="23.25" thickBot="1" x14ac:dyDescent="0.25">
      <c r="B21" s="232"/>
      <c r="C21" s="71" t="s">
        <v>113</v>
      </c>
      <c r="D21" s="76">
        <v>93930</v>
      </c>
    </row>
    <row r="22" spans="1:19" s="8" customFormat="1" ht="20.25" customHeight="1" x14ac:dyDescent="0.2">
      <c r="A22" s="6"/>
      <c r="B22" s="67"/>
      <c r="C22" s="73" t="s">
        <v>30</v>
      </c>
      <c r="D22" s="78">
        <f>SUM(D20:D21)</f>
        <v>213930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</sheetData>
  <sheetProtection password="C96C" sheet="1" objects="1" scenarios="1" selectLockedCells="1" selectUnlockedCells="1"/>
  <mergeCells count="23">
    <mergeCell ref="B20:B21"/>
    <mergeCell ref="C16:S16"/>
    <mergeCell ref="C17:S17"/>
    <mergeCell ref="H4:H5"/>
    <mergeCell ref="I4:I5"/>
    <mergeCell ref="J4:J5"/>
    <mergeCell ref="K4:K5"/>
    <mergeCell ref="D4:D5"/>
    <mergeCell ref="E4:E5"/>
    <mergeCell ref="O4:P4"/>
    <mergeCell ref="B1:S1"/>
    <mergeCell ref="A2:S2"/>
    <mergeCell ref="B3:S3"/>
    <mergeCell ref="A4:A5"/>
    <mergeCell ref="B4:B5"/>
    <mergeCell ref="C4:C5"/>
    <mergeCell ref="Q4:Q5"/>
    <mergeCell ref="R4:R5"/>
    <mergeCell ref="S4:S5"/>
    <mergeCell ref="F4:F5"/>
    <mergeCell ref="G4:G5"/>
    <mergeCell ref="L4:L5"/>
    <mergeCell ref="M4:M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75" zoomScaleSheetLayoutView="75" workbookViewId="0">
      <selection activeCell="G7" sqref="G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6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2010</v>
      </c>
      <c r="B6" s="13" t="s">
        <v>7</v>
      </c>
      <c r="C6" s="14" t="s">
        <v>8</v>
      </c>
      <c r="D6" s="15">
        <v>288450</v>
      </c>
      <c r="E6" s="15"/>
      <c r="F6" s="15">
        <v>55265</v>
      </c>
      <c r="G6" s="15">
        <v>3285</v>
      </c>
      <c r="H6" s="15"/>
      <c r="I6" s="15"/>
      <c r="J6" s="15">
        <f>SUM(F6,G6,H6)</f>
        <v>58550</v>
      </c>
      <c r="K6" s="15"/>
      <c r="L6" s="15"/>
      <c r="M6" s="16">
        <f t="shared" ref="M6:M14" si="0">SUM(D6,J6,L6)</f>
        <v>347000</v>
      </c>
      <c r="N6" s="15"/>
      <c r="O6" s="15"/>
      <c r="P6" s="15"/>
      <c r="Q6" s="16">
        <f>SUM(O6:P6)</f>
        <v>0</v>
      </c>
      <c r="R6" s="15"/>
      <c r="S6" s="17">
        <f>SUM(D6,J6,L6,Q6)</f>
        <v>347000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395720</v>
      </c>
      <c r="E7" s="15"/>
      <c r="F7" s="15">
        <v>423980</v>
      </c>
      <c r="G7" s="15">
        <v>4380</v>
      </c>
      <c r="H7" s="15"/>
      <c r="I7" s="15"/>
      <c r="J7" s="15">
        <f t="shared" ref="J7:J14" si="1">SUM(F7,G7,H7)</f>
        <v>428360</v>
      </c>
      <c r="K7" s="15"/>
      <c r="L7" s="15"/>
      <c r="M7" s="16">
        <f t="shared" si="0"/>
        <v>824080</v>
      </c>
      <c r="N7" s="15"/>
      <c r="O7" s="15"/>
      <c r="P7" s="15"/>
      <c r="Q7" s="16">
        <f>SUM(O7:P7)</f>
        <v>0</v>
      </c>
      <c r="R7" s="15"/>
      <c r="S7" s="17">
        <f>SUM(D7,J7,L7,Q7)</f>
        <v>824080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1140695</v>
      </c>
      <c r="E8" s="15"/>
      <c r="F8" s="15">
        <v>973050</v>
      </c>
      <c r="G8" s="15">
        <v>19715</v>
      </c>
      <c r="H8" s="15"/>
      <c r="I8" s="15"/>
      <c r="J8" s="15">
        <f t="shared" si="1"/>
        <v>992765</v>
      </c>
      <c r="K8" s="15"/>
      <c r="L8" s="15"/>
      <c r="M8" s="16">
        <f t="shared" si="0"/>
        <v>2133460</v>
      </c>
      <c r="N8" s="15"/>
      <c r="O8" s="15"/>
      <c r="P8" s="15"/>
      <c r="Q8" s="16">
        <f>SUM(O8:P8)</f>
        <v>0</v>
      </c>
      <c r="R8" s="15"/>
      <c r="S8" s="17">
        <f>SUM(D8,J8,L8,Q8)</f>
        <v>2133460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>
        <v>300000</v>
      </c>
      <c r="Q9" s="16">
        <f>SUM(O9:P9)</f>
        <v>300000</v>
      </c>
      <c r="R9" s="15"/>
      <c r="S9" s="17">
        <f>SUM(D9,J9,L9,Q9)</f>
        <v>300000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1824865</v>
      </c>
      <c r="E10" s="38"/>
      <c r="F10" s="38">
        <f>SUM(F6:F9)</f>
        <v>1452295</v>
      </c>
      <c r="G10" s="38">
        <f>SUM(G6:G9)</f>
        <v>27380</v>
      </c>
      <c r="H10" s="38">
        <f>SUM(H6:H9)</f>
        <v>0</v>
      </c>
      <c r="I10" s="38"/>
      <c r="J10" s="38">
        <f t="shared" si="1"/>
        <v>1479675</v>
      </c>
      <c r="K10" s="38"/>
      <c r="L10" s="38">
        <f>SUM(L6:L9)</f>
        <v>0</v>
      </c>
      <c r="M10" s="22">
        <f t="shared" si="0"/>
        <v>3304540</v>
      </c>
      <c r="N10" s="38"/>
      <c r="O10" s="38">
        <f>SUM(O6:O9)</f>
        <v>0</v>
      </c>
      <c r="P10" s="38">
        <f>SUM(P6:P9)</f>
        <v>300000</v>
      </c>
      <c r="Q10" s="22">
        <f>SUM(Q6:Q9)</f>
        <v>300000</v>
      </c>
      <c r="R10" s="38"/>
      <c r="S10" s="38">
        <f>SUM(S6:S9)</f>
        <v>3604540</v>
      </c>
    </row>
    <row r="11" spans="1:19" ht="24" customHeight="1" x14ac:dyDescent="0.2">
      <c r="A11" s="13"/>
      <c r="B11" s="20"/>
      <c r="C11" s="1" t="s">
        <v>54</v>
      </c>
      <c r="D11" s="15">
        <v>0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0</v>
      </c>
      <c r="N11" s="15"/>
      <c r="O11" s="15">
        <v>29515.74</v>
      </c>
      <c r="P11" s="15">
        <v>-29515.74</v>
      </c>
      <c r="Q11" s="16">
        <f>SUM(O11:P11)</f>
        <v>0</v>
      </c>
      <c r="R11" s="15"/>
      <c r="S11" s="17">
        <f>SUM(D11,J11,L11,Q11)</f>
        <v>0</v>
      </c>
    </row>
    <row r="12" spans="1:19" ht="24" customHeight="1" x14ac:dyDescent="0.2">
      <c r="A12" s="13"/>
      <c r="B12" s="20"/>
      <c r="C12" s="1" t="s">
        <v>55</v>
      </c>
      <c r="D12" s="15">
        <v>0</v>
      </c>
      <c r="E12" s="15"/>
      <c r="F12" s="15">
        <v>2314</v>
      </c>
      <c r="G12" s="15"/>
      <c r="H12" s="15"/>
      <c r="I12" s="15"/>
      <c r="J12" s="15">
        <f>SUM(F12,G12,H12)</f>
        <v>2314</v>
      </c>
      <c r="K12" s="15"/>
      <c r="L12" s="15">
        <v>14780</v>
      </c>
      <c r="M12" s="16">
        <f>SUM(D12,J12,L12)</f>
        <v>17094</v>
      </c>
      <c r="N12" s="15"/>
      <c r="O12" s="15"/>
      <c r="P12" s="15"/>
      <c r="Q12" s="16">
        <f>SUM(O12:P12)</f>
        <v>0</v>
      </c>
      <c r="R12" s="15"/>
      <c r="S12" s="17">
        <f>SUM(D12,J12,L12,Q12)</f>
        <v>17094</v>
      </c>
    </row>
    <row r="13" spans="1:19" ht="18" customHeight="1" x14ac:dyDescent="0.2">
      <c r="A13" s="13"/>
      <c r="B13" s="20"/>
      <c r="C13" s="14" t="s">
        <v>29</v>
      </c>
      <c r="D13" s="15">
        <v>256089.75</v>
      </c>
      <c r="E13" s="15"/>
      <c r="F13" s="15">
        <v>-402979.14</v>
      </c>
      <c r="G13" s="15">
        <v>13983.71</v>
      </c>
      <c r="H13" s="15">
        <v>15000</v>
      </c>
      <c r="I13" s="15"/>
      <c r="J13" s="15">
        <f t="shared" si="1"/>
        <v>-373995.43</v>
      </c>
      <c r="K13" s="15"/>
      <c r="L13" s="15">
        <v>117905.68</v>
      </c>
      <c r="M13" s="16">
        <f t="shared" si="0"/>
        <v>0</v>
      </c>
      <c r="N13" s="15"/>
      <c r="O13" s="15">
        <v>0</v>
      </c>
      <c r="P13" s="15">
        <v>0</v>
      </c>
      <c r="Q13" s="16">
        <f>SUM(O13:P13)</f>
        <v>0</v>
      </c>
      <c r="R13" s="15"/>
      <c r="S13" s="17">
        <f>SUM(D13,J13,L13,Q13)</f>
        <v>0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2080954.75</v>
      </c>
      <c r="E14" s="42"/>
      <c r="F14" s="42">
        <f>SUM(F10:F13)</f>
        <v>1051629.8599999999</v>
      </c>
      <c r="G14" s="42">
        <f>SUM(G10:G13)</f>
        <v>41363.71</v>
      </c>
      <c r="H14" s="42">
        <f>SUM(H10:H13)</f>
        <v>15000</v>
      </c>
      <c r="I14" s="42"/>
      <c r="J14" s="42">
        <f t="shared" si="1"/>
        <v>1107993.5699999998</v>
      </c>
      <c r="K14" s="42"/>
      <c r="L14" s="42">
        <f>SUM(L10:L13)</f>
        <v>132685.68</v>
      </c>
      <c r="M14" s="22">
        <f t="shared" si="0"/>
        <v>3321634</v>
      </c>
      <c r="N14" s="42"/>
      <c r="O14" s="42">
        <f>SUM(O10:O13)</f>
        <v>29515.74</v>
      </c>
      <c r="P14" s="42">
        <f>SUM(P10:P13)</f>
        <v>270484.26</v>
      </c>
      <c r="Q14" s="22">
        <f>SUM(Q10:Q13)</f>
        <v>300000</v>
      </c>
      <c r="R14" s="42"/>
      <c r="S14" s="42">
        <f>SUM(S10:S13)</f>
        <v>3621634</v>
      </c>
    </row>
    <row r="15" spans="1:19" s="28" customFormat="1" ht="18" customHeight="1" x14ac:dyDescent="0.2">
      <c r="A15" s="23"/>
      <c r="B15" s="24"/>
      <c r="C15" s="25" t="s">
        <v>53</v>
      </c>
      <c r="D15" s="26">
        <f>2064613.6+16341.15</f>
        <v>2080954.75</v>
      </c>
      <c r="E15" s="26"/>
      <c r="F15" s="26">
        <f>1051268.78+361.08</f>
        <v>1051629.8600000001</v>
      </c>
      <c r="G15" s="26">
        <f>41362.99+0.72</f>
        <v>41363.71</v>
      </c>
      <c r="H15" s="26">
        <v>15000</v>
      </c>
      <c r="I15" s="26"/>
      <c r="J15" s="26">
        <f>SUM(F15:H15)</f>
        <v>1107993.57</v>
      </c>
      <c r="K15" s="26"/>
      <c r="L15" s="26">
        <f>132138.63+547.05</f>
        <v>132685.68</v>
      </c>
      <c r="M15" s="27">
        <f>SUM(D15,J15,L15)</f>
        <v>3321634.0000000005</v>
      </c>
      <c r="N15" s="26"/>
      <c r="O15" s="26">
        <v>29513.75</v>
      </c>
      <c r="P15" s="26">
        <v>266097.2</v>
      </c>
      <c r="Q15" s="26">
        <f>SUM(O15:P15)</f>
        <v>295610.95</v>
      </c>
      <c r="R15" s="26"/>
      <c r="S15" s="26">
        <f>SUM(M15,Q15)</f>
        <v>3617244.9500000007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0</v>
      </c>
      <c r="E16" s="32"/>
      <c r="F16" s="32">
        <f>F14-F15</f>
        <v>0</v>
      </c>
      <c r="G16" s="32">
        <f>G14-G15</f>
        <v>0</v>
      </c>
      <c r="H16" s="32">
        <f>H14-H15</f>
        <v>0</v>
      </c>
      <c r="I16" s="32"/>
      <c r="J16" s="32">
        <f>J14-J15</f>
        <v>0</v>
      </c>
      <c r="K16" s="32"/>
      <c r="L16" s="32">
        <f>L14-L15</f>
        <v>0</v>
      </c>
      <c r="M16" s="33">
        <f>M14-M15</f>
        <v>0</v>
      </c>
      <c r="N16" s="32"/>
      <c r="O16" s="32">
        <f>O14-O15</f>
        <v>1.9900000000016007</v>
      </c>
      <c r="P16" s="32">
        <f>P14-P15</f>
        <v>4387.0599999999977</v>
      </c>
      <c r="Q16" s="32">
        <f>Q14-Q15</f>
        <v>4389.0499999999884</v>
      </c>
      <c r="R16" s="32"/>
      <c r="S16" s="32">
        <f>S14-S15</f>
        <v>4389.0499999993481</v>
      </c>
    </row>
    <row r="17" spans="1:19" s="8" customFormat="1" ht="18" customHeight="1" x14ac:dyDescent="0.2">
      <c r="A17" s="7"/>
      <c r="B17" s="7"/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</row>
    <row r="18" spans="1:19" s="8" customFormat="1" ht="18" customHeight="1" x14ac:dyDescent="0.2">
      <c r="A18" s="7"/>
      <c r="B18" s="7" t="s">
        <v>45</v>
      </c>
      <c r="C18" s="252" t="s">
        <v>122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</row>
    <row r="19" spans="1:19" s="8" customFormat="1" ht="12.75" customHeight="1" x14ac:dyDescent="0.2">
      <c r="A19" s="7"/>
      <c r="B19" s="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8" customFormat="1" ht="23.25" customHeight="1" x14ac:dyDescent="0.2">
      <c r="A20" s="7"/>
      <c r="B20" s="60" t="s">
        <v>98</v>
      </c>
      <c r="C20" s="61" t="s">
        <v>121</v>
      </c>
      <c r="D20" s="62" t="s">
        <v>100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33.75" x14ac:dyDescent="0.2">
      <c r="B21" s="232">
        <v>2010</v>
      </c>
      <c r="C21" s="71" t="s">
        <v>114</v>
      </c>
      <c r="D21" s="74">
        <v>189701.69</v>
      </c>
    </row>
    <row r="22" spans="1:19" x14ac:dyDescent="0.2">
      <c r="B22" s="232"/>
      <c r="C22" s="71" t="s">
        <v>115</v>
      </c>
      <c r="D22" s="75">
        <v>30298.31</v>
      </c>
    </row>
    <row r="23" spans="1:19" ht="23.25" thickBot="1" x14ac:dyDescent="0.25">
      <c r="B23" s="232"/>
      <c r="C23" s="71" t="s">
        <v>116</v>
      </c>
      <c r="D23" s="76">
        <v>80000</v>
      </c>
    </row>
    <row r="24" spans="1:19" s="8" customFormat="1" ht="18.75" customHeight="1" x14ac:dyDescent="0.2">
      <c r="A24" s="6"/>
      <c r="B24" s="67"/>
      <c r="C24" s="73" t="s">
        <v>30</v>
      </c>
      <c r="D24" s="78">
        <f>SUM(D21:D23)</f>
        <v>300000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</sheetData>
  <sheetProtection password="C96C" sheet="1" objects="1" scenarios="1" selectLockedCells="1" selectUnlockedCells="1"/>
  <mergeCells count="23">
    <mergeCell ref="B21:B23"/>
    <mergeCell ref="C17:S17"/>
    <mergeCell ref="C18:S18"/>
    <mergeCell ref="H4:H5"/>
    <mergeCell ref="I4:I5"/>
    <mergeCell ref="J4:J5"/>
    <mergeCell ref="K4:K5"/>
    <mergeCell ref="D4:D5"/>
    <mergeCell ref="E4:E5"/>
    <mergeCell ref="O4:P4"/>
    <mergeCell ref="B1:S1"/>
    <mergeCell ref="A2:S2"/>
    <mergeCell ref="B3:S3"/>
    <mergeCell ref="A4:A5"/>
    <mergeCell ref="B4:B5"/>
    <mergeCell ref="C4:C5"/>
    <mergeCell ref="Q4:Q5"/>
    <mergeCell ref="R4:R5"/>
    <mergeCell ref="S4:S5"/>
    <mergeCell ref="F4:F5"/>
    <mergeCell ref="G4:G5"/>
    <mergeCell ref="L4:L5"/>
    <mergeCell ref="M4:M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B9" zoomScaleNormal="75" zoomScaleSheetLayoutView="75" workbookViewId="0">
      <selection activeCell="J25" sqref="J25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2011</v>
      </c>
      <c r="B6" s="13" t="s">
        <v>7</v>
      </c>
      <c r="C6" s="14" t="s">
        <v>8</v>
      </c>
      <c r="D6" s="15">
        <v>472350</v>
      </c>
      <c r="E6" s="15"/>
      <c r="F6" s="15">
        <v>100910</v>
      </c>
      <c r="G6" s="15">
        <v>4650</v>
      </c>
      <c r="H6" s="15"/>
      <c r="I6" s="15"/>
      <c r="J6" s="15">
        <f>SUM(F6,G6,H6)</f>
        <v>105560</v>
      </c>
      <c r="K6" s="15"/>
      <c r="L6" s="15">
        <v>3050</v>
      </c>
      <c r="M6" s="16">
        <f t="shared" ref="M6:M17" si="0">SUM(D6,J6,L6)</f>
        <v>580960</v>
      </c>
      <c r="N6" s="15"/>
      <c r="O6" s="15"/>
      <c r="P6" s="15"/>
      <c r="Q6" s="16">
        <f>SUM(O6:P6)</f>
        <v>0</v>
      </c>
      <c r="R6" s="15"/>
      <c r="S6" s="17">
        <f>SUM(D6,J6,L6,Q6)</f>
        <v>580960</v>
      </c>
    </row>
    <row r="7" spans="1:19" ht="18" customHeight="1" x14ac:dyDescent="0.2">
      <c r="A7" s="13"/>
      <c r="B7" s="13" t="s">
        <v>17</v>
      </c>
      <c r="C7" s="14" t="s">
        <v>56</v>
      </c>
      <c r="D7" s="15">
        <v>707245</v>
      </c>
      <c r="E7" s="15"/>
      <c r="F7" s="15">
        <v>600520</v>
      </c>
      <c r="G7" s="15">
        <v>9450</v>
      </c>
      <c r="H7" s="15"/>
      <c r="I7" s="15"/>
      <c r="J7" s="15">
        <f t="shared" ref="J7:J17" si="1">SUM(F7,G7,H7)</f>
        <v>609970</v>
      </c>
      <c r="K7" s="15"/>
      <c r="L7" s="15">
        <v>6190</v>
      </c>
      <c r="M7" s="16">
        <f t="shared" si="0"/>
        <v>1323405</v>
      </c>
      <c r="N7" s="15"/>
      <c r="O7" s="15"/>
      <c r="P7" s="15"/>
      <c r="Q7" s="16">
        <f>SUM(O7:P7)</f>
        <v>0</v>
      </c>
      <c r="R7" s="15"/>
      <c r="S7" s="17">
        <f>SUM(D7,J7,L7,Q7)</f>
        <v>1323405</v>
      </c>
    </row>
    <row r="8" spans="1:19" ht="24" customHeight="1" x14ac:dyDescent="0.2">
      <c r="A8" s="13"/>
      <c r="B8" s="13" t="s">
        <v>19</v>
      </c>
      <c r="C8" s="14" t="s">
        <v>57</v>
      </c>
      <c r="D8" s="15">
        <v>826740</v>
      </c>
      <c r="E8" s="15"/>
      <c r="F8" s="15">
        <v>311060</v>
      </c>
      <c r="G8" s="15">
        <v>12750</v>
      </c>
      <c r="H8" s="15"/>
      <c r="I8" s="15"/>
      <c r="J8" s="15">
        <f t="shared" si="1"/>
        <v>323810</v>
      </c>
      <c r="K8" s="15"/>
      <c r="L8" s="15">
        <v>8350</v>
      </c>
      <c r="M8" s="16">
        <f t="shared" si="0"/>
        <v>1158900</v>
      </c>
      <c r="N8" s="15"/>
      <c r="O8" s="15"/>
      <c r="P8" s="15"/>
      <c r="Q8" s="16">
        <f>SUM(O8:P8)</f>
        <v>0</v>
      </c>
      <c r="R8" s="15"/>
      <c r="S8" s="17">
        <f>SUM(D8,J8,L8,Q8)</f>
        <v>1158900</v>
      </c>
    </row>
    <row r="9" spans="1:19" ht="21.75" customHeight="1" x14ac:dyDescent="0.2">
      <c r="A9" s="13"/>
      <c r="B9" s="13" t="s">
        <v>31</v>
      </c>
      <c r="C9" s="14" t="s">
        <v>58</v>
      </c>
      <c r="D9" s="15">
        <v>400135</v>
      </c>
      <c r="E9" s="15"/>
      <c r="F9" s="15">
        <v>84940</v>
      </c>
      <c r="G9" s="15">
        <v>3750</v>
      </c>
      <c r="H9" s="15"/>
      <c r="I9" s="15"/>
      <c r="J9" s="15">
        <f t="shared" si="1"/>
        <v>88690</v>
      </c>
      <c r="K9" s="15"/>
      <c r="L9" s="15">
        <v>2450</v>
      </c>
      <c r="M9" s="16">
        <f t="shared" si="0"/>
        <v>491275</v>
      </c>
      <c r="N9" s="15"/>
      <c r="O9" s="15"/>
      <c r="P9" s="15"/>
      <c r="Q9" s="16">
        <f>SUM(O9:P9)</f>
        <v>0</v>
      </c>
      <c r="R9" s="15"/>
      <c r="S9" s="17">
        <f>SUM(D9,J9,L9,Q9)</f>
        <v>491275</v>
      </c>
    </row>
    <row r="10" spans="1:19" ht="18" customHeight="1" x14ac:dyDescent="0.2">
      <c r="A10" s="13"/>
      <c r="B10" s="20" t="s">
        <v>26</v>
      </c>
      <c r="C10" s="14" t="s">
        <v>24</v>
      </c>
      <c r="D10" s="15"/>
      <c r="E10" s="15"/>
      <c r="F10" s="15"/>
      <c r="G10" s="15"/>
      <c r="H10" s="15"/>
      <c r="I10" s="15"/>
      <c r="J10" s="15">
        <f t="shared" si="1"/>
        <v>0</v>
      </c>
      <c r="K10" s="15"/>
      <c r="L10" s="15"/>
      <c r="M10" s="16">
        <f t="shared" si="0"/>
        <v>0</v>
      </c>
      <c r="N10" s="15"/>
      <c r="O10" s="15"/>
      <c r="P10" s="15">
        <v>103500</v>
      </c>
      <c r="Q10" s="16">
        <f>SUM(O10:P10)</f>
        <v>103500</v>
      </c>
      <c r="R10" s="15"/>
      <c r="S10" s="17">
        <f>SUM(D10,J10,L10,Q10)</f>
        <v>103500</v>
      </c>
    </row>
    <row r="11" spans="1:19" s="8" customFormat="1" ht="18" customHeight="1" x14ac:dyDescent="0.2">
      <c r="A11" s="35"/>
      <c r="B11" s="36"/>
      <c r="C11" s="37" t="s">
        <v>44</v>
      </c>
      <c r="D11" s="38">
        <f>SUM(D6:D10)</f>
        <v>2406470</v>
      </c>
      <c r="E11" s="38"/>
      <c r="F11" s="38">
        <f>SUM(F6:F10)</f>
        <v>1097430</v>
      </c>
      <c r="G11" s="38">
        <f>SUM(G6:G10)</f>
        <v>30600</v>
      </c>
      <c r="H11" s="38">
        <f>SUM(H6:H10)</f>
        <v>0</v>
      </c>
      <c r="I11" s="38"/>
      <c r="J11" s="38">
        <f t="shared" si="1"/>
        <v>1128030</v>
      </c>
      <c r="K11" s="38"/>
      <c r="L11" s="38">
        <f>SUM(L6:L10)</f>
        <v>20040</v>
      </c>
      <c r="M11" s="22">
        <f t="shared" si="0"/>
        <v>3554540</v>
      </c>
      <c r="N11" s="38"/>
      <c r="O11" s="38">
        <f>SUM(O6:O10)</f>
        <v>0</v>
      </c>
      <c r="P11" s="38">
        <f>SUM(P6:P10)</f>
        <v>103500</v>
      </c>
      <c r="Q11" s="22">
        <f>SUM(Q6:Q10)</f>
        <v>103500</v>
      </c>
      <c r="R11" s="38"/>
      <c r="S11" s="38">
        <f>SUM(S6:S10)</f>
        <v>3658040</v>
      </c>
    </row>
    <row r="12" spans="1:19" ht="24" customHeight="1" x14ac:dyDescent="0.2">
      <c r="A12" s="13"/>
      <c r="B12" s="20"/>
      <c r="C12" s="1" t="s">
        <v>71</v>
      </c>
      <c r="D12" s="15">
        <v>23371</v>
      </c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6">
        <f t="shared" si="0"/>
        <v>23371</v>
      </c>
      <c r="N12" s="15"/>
      <c r="O12" s="15"/>
      <c r="P12" s="15"/>
      <c r="Q12" s="16">
        <f>SUM(O12:P12)</f>
        <v>0</v>
      </c>
      <c r="R12" s="15"/>
      <c r="S12" s="17">
        <f>SUM(D12,J12,L12,Q12)</f>
        <v>23371</v>
      </c>
    </row>
    <row r="13" spans="1:19" ht="24" customHeight="1" x14ac:dyDescent="0.2">
      <c r="A13" s="13"/>
      <c r="B13" s="20"/>
      <c r="C13" s="1" t="s">
        <v>72</v>
      </c>
      <c r="D13" s="15">
        <v>23371</v>
      </c>
      <c r="E13" s="15"/>
      <c r="F13" s="15"/>
      <c r="G13" s="15"/>
      <c r="H13" s="15"/>
      <c r="I13" s="15"/>
      <c r="J13" s="15">
        <f>SUM(F13,G13,H13)</f>
        <v>0</v>
      </c>
      <c r="K13" s="15"/>
      <c r="L13" s="15"/>
      <c r="M13" s="16">
        <f>SUM(D13,J13,L13)</f>
        <v>23371</v>
      </c>
      <c r="N13" s="15"/>
      <c r="O13" s="15"/>
      <c r="P13" s="15"/>
      <c r="Q13" s="16">
        <f>SUM(O13:P13)</f>
        <v>0</v>
      </c>
      <c r="R13" s="15"/>
      <c r="S13" s="17">
        <f>SUM(D13,J13,L13,Q13)</f>
        <v>23371</v>
      </c>
    </row>
    <row r="14" spans="1:19" ht="24" customHeight="1" x14ac:dyDescent="0.2">
      <c r="A14" s="13"/>
      <c r="B14" s="20"/>
      <c r="C14" s="1" t="s">
        <v>73</v>
      </c>
      <c r="D14" s="15">
        <v>23371</v>
      </c>
      <c r="E14" s="15"/>
      <c r="F14" s="15"/>
      <c r="G14" s="15"/>
      <c r="H14" s="15"/>
      <c r="I14" s="15"/>
      <c r="J14" s="15">
        <f>SUM(F14,G14,H14)</f>
        <v>0</v>
      </c>
      <c r="K14" s="15"/>
      <c r="L14" s="15"/>
      <c r="M14" s="16">
        <f>SUM(D14,J14,L14)</f>
        <v>23371</v>
      </c>
      <c r="N14" s="15"/>
      <c r="O14" s="15"/>
      <c r="P14" s="15"/>
      <c r="Q14" s="16">
        <f>SUM(O14:P14)</f>
        <v>0</v>
      </c>
      <c r="R14" s="15"/>
      <c r="S14" s="17">
        <f>SUM(D14,J14,L14,Q14)</f>
        <v>23371</v>
      </c>
    </row>
    <row r="15" spans="1:19" ht="24" customHeight="1" x14ac:dyDescent="0.2">
      <c r="A15" s="13"/>
      <c r="B15" s="20"/>
      <c r="C15" s="1" t="s">
        <v>74</v>
      </c>
      <c r="D15" s="15">
        <v>23371</v>
      </c>
      <c r="E15" s="15"/>
      <c r="F15" s="15"/>
      <c r="G15" s="15"/>
      <c r="H15" s="15"/>
      <c r="I15" s="15"/>
      <c r="J15" s="15">
        <f>SUM(F15,G15,H15)</f>
        <v>0</v>
      </c>
      <c r="K15" s="15"/>
      <c r="L15" s="15"/>
      <c r="M15" s="16">
        <f>SUM(D15,J15,L15)</f>
        <v>23371</v>
      </c>
      <c r="N15" s="15"/>
      <c r="O15" s="15"/>
      <c r="P15" s="15"/>
      <c r="Q15" s="16">
        <f>SUM(O15:P15)</f>
        <v>0</v>
      </c>
      <c r="R15" s="15"/>
      <c r="S15" s="17">
        <f>SUM(D15,J15,L15,Q15)</f>
        <v>23371</v>
      </c>
    </row>
    <row r="16" spans="1:19" ht="18" customHeight="1" x14ac:dyDescent="0.2">
      <c r="A16" s="13"/>
      <c r="B16" s="20"/>
      <c r="C16" s="14" t="s">
        <v>29</v>
      </c>
      <c r="D16" s="15">
        <v>85898.8</v>
      </c>
      <c r="E16" s="15"/>
      <c r="F16" s="15">
        <v>-132433.26999999999</v>
      </c>
      <c r="G16" s="15">
        <v>3037.24</v>
      </c>
      <c r="H16" s="15">
        <v>15000</v>
      </c>
      <c r="I16" s="15"/>
      <c r="J16" s="15">
        <f t="shared" si="1"/>
        <v>-114396.02999999998</v>
      </c>
      <c r="K16" s="15"/>
      <c r="L16" s="15">
        <v>28497.23</v>
      </c>
      <c r="M16" s="16">
        <f t="shared" si="0"/>
        <v>0</v>
      </c>
      <c r="N16" s="15"/>
      <c r="O16" s="15">
        <v>0</v>
      </c>
      <c r="P16" s="15">
        <v>0</v>
      </c>
      <c r="Q16" s="16">
        <f>SUM(O16:P16)</f>
        <v>0</v>
      </c>
      <c r="R16" s="15"/>
      <c r="S16" s="17">
        <f>SUM(D16,J16,L16,Q16)</f>
        <v>1.8189894035458565E-11</v>
      </c>
    </row>
    <row r="17" spans="1:19" s="8" customFormat="1" ht="18" customHeight="1" x14ac:dyDescent="0.2">
      <c r="A17" s="35"/>
      <c r="B17" s="35"/>
      <c r="C17" s="21" t="s">
        <v>52</v>
      </c>
      <c r="D17" s="42">
        <f>SUM(D11:D16)</f>
        <v>2585852.7999999998</v>
      </c>
      <c r="E17" s="42"/>
      <c r="F17" s="42">
        <f>SUM(F11:F16)</f>
        <v>964996.73</v>
      </c>
      <c r="G17" s="42">
        <f>SUM(G11:G16)</f>
        <v>33637.24</v>
      </c>
      <c r="H17" s="42">
        <f>SUM(H11:H16)</f>
        <v>15000</v>
      </c>
      <c r="I17" s="42"/>
      <c r="J17" s="42">
        <f t="shared" si="1"/>
        <v>1013633.97</v>
      </c>
      <c r="K17" s="42"/>
      <c r="L17" s="42">
        <f>SUM(L11:L16)</f>
        <v>48537.229999999996</v>
      </c>
      <c r="M17" s="22">
        <f t="shared" si="0"/>
        <v>3648023.9999999995</v>
      </c>
      <c r="N17" s="42"/>
      <c r="O17" s="42">
        <f>SUM(O11:O16)</f>
        <v>0</v>
      </c>
      <c r="P17" s="42">
        <f>SUM(P11:P16)</f>
        <v>103500</v>
      </c>
      <c r="Q17" s="22">
        <f>SUM(Q11:Q16)</f>
        <v>103500</v>
      </c>
      <c r="R17" s="42"/>
      <c r="S17" s="42">
        <f>SUM(S11:S16)</f>
        <v>3751524</v>
      </c>
    </row>
    <row r="18" spans="1:19" s="28" customFormat="1" ht="18" customHeight="1" x14ac:dyDescent="0.2">
      <c r="A18" s="23"/>
      <c r="B18" s="24"/>
      <c r="C18" s="25" t="s">
        <v>53</v>
      </c>
      <c r="D18" s="26">
        <v>2576637.83</v>
      </c>
      <c r="E18" s="26"/>
      <c r="F18" s="26">
        <v>964992.96</v>
      </c>
      <c r="G18" s="26">
        <v>33637.24</v>
      </c>
      <c r="H18" s="26">
        <v>15000</v>
      </c>
      <c r="I18" s="26"/>
      <c r="J18" s="26">
        <f>SUM(F18:H18)</f>
        <v>1013630.2</v>
      </c>
      <c r="K18" s="26"/>
      <c r="L18" s="26">
        <v>48537.23</v>
      </c>
      <c r="M18" s="27">
        <f>SUM(D18,J18,L18)</f>
        <v>3638805.2600000002</v>
      </c>
      <c r="N18" s="26"/>
      <c r="O18" s="26">
        <v>0</v>
      </c>
      <c r="P18" s="26">
        <v>103492.81</v>
      </c>
      <c r="Q18" s="26">
        <f>SUM(O18:P18)</f>
        <v>103492.81</v>
      </c>
      <c r="R18" s="26"/>
      <c r="S18" s="26">
        <f>SUM(M18,Q18)</f>
        <v>3742298.0700000003</v>
      </c>
    </row>
    <row r="19" spans="1:19" s="34" customFormat="1" ht="18" customHeight="1" x14ac:dyDescent="0.2">
      <c r="A19" s="29"/>
      <c r="B19" s="30"/>
      <c r="C19" s="31" t="s">
        <v>50</v>
      </c>
      <c r="D19" s="32">
        <f>D17-D18</f>
        <v>9214.9699999997392</v>
      </c>
      <c r="E19" s="32"/>
      <c r="F19" s="32">
        <f>F17-F18</f>
        <v>3.7700000000186265</v>
      </c>
      <c r="G19" s="32">
        <f>G17-G18</f>
        <v>0</v>
      </c>
      <c r="H19" s="32">
        <f>H17-H18</f>
        <v>0</v>
      </c>
      <c r="I19" s="32"/>
      <c r="J19" s="32">
        <f>J17-J18</f>
        <v>3.7700000000186265</v>
      </c>
      <c r="K19" s="32"/>
      <c r="L19" s="32">
        <f>L17-L18</f>
        <v>0</v>
      </c>
      <c r="M19" s="33">
        <f>M17-M18</f>
        <v>9218.7399999992922</v>
      </c>
      <c r="N19" s="32"/>
      <c r="O19" s="32">
        <f>O17-O18</f>
        <v>0</v>
      </c>
      <c r="P19" s="32">
        <f>P17-P18</f>
        <v>7.1900000000023283</v>
      </c>
      <c r="Q19" s="32">
        <f>Q17-Q18</f>
        <v>7.1900000000023283</v>
      </c>
      <c r="R19" s="32"/>
      <c r="S19" s="32">
        <f>S17-S18</f>
        <v>9225.929999999702</v>
      </c>
    </row>
    <row r="20" spans="1:19" s="8" customFormat="1" ht="18" customHeight="1" x14ac:dyDescent="0.2">
      <c r="A20" s="7"/>
      <c r="B20" s="7"/>
      <c r="C20" s="250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</row>
    <row r="21" spans="1:19" s="8" customFormat="1" ht="18" customHeight="1" x14ac:dyDescent="0.2">
      <c r="A21" s="7"/>
      <c r="B21" s="7" t="s">
        <v>45</v>
      </c>
      <c r="C21" s="252" t="s">
        <v>122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</row>
    <row r="22" spans="1:19" s="8" customFormat="1" ht="12.75" customHeight="1" x14ac:dyDescent="0.2">
      <c r="A22" s="7"/>
      <c r="B22" s="7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8" customFormat="1" ht="23.25" customHeight="1" x14ac:dyDescent="0.2">
      <c r="A23" s="7"/>
      <c r="B23" s="60" t="s">
        <v>98</v>
      </c>
      <c r="C23" s="61" t="s">
        <v>121</v>
      </c>
      <c r="D23" s="62" t="s">
        <v>100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22.5" x14ac:dyDescent="0.2">
      <c r="B24" s="60">
        <v>2011</v>
      </c>
      <c r="C24" s="71" t="s">
        <v>117</v>
      </c>
      <c r="D24" s="75">
        <v>30000</v>
      </c>
    </row>
    <row r="25" spans="1:19" ht="22.5" x14ac:dyDescent="0.2">
      <c r="B25" s="60"/>
      <c r="C25" s="71" t="s">
        <v>118</v>
      </c>
      <c r="D25" s="75">
        <v>73500</v>
      </c>
    </row>
    <row r="26" spans="1:19" s="8" customFormat="1" ht="19.5" customHeight="1" x14ac:dyDescent="0.2">
      <c r="A26" s="6"/>
      <c r="B26" s="67"/>
      <c r="C26" s="73" t="s">
        <v>30</v>
      </c>
      <c r="D26" s="77">
        <f>SUM(D24:D25)</f>
        <v>103500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</sheetData>
  <sheetProtection password="C96C" sheet="1" objects="1" scenarios="1" selectLockedCells="1"/>
  <mergeCells count="22">
    <mergeCell ref="C20:S20"/>
    <mergeCell ref="C21:S21"/>
    <mergeCell ref="H4:H5"/>
    <mergeCell ref="I4:I5"/>
    <mergeCell ref="J4:J5"/>
    <mergeCell ref="K4:K5"/>
    <mergeCell ref="R4:R5"/>
    <mergeCell ref="S4:S5"/>
    <mergeCell ref="O4:P4"/>
    <mergeCell ref="Q4:Q5"/>
    <mergeCell ref="L4:L5"/>
    <mergeCell ref="M4:M5"/>
    <mergeCell ref="F4:F5"/>
    <mergeCell ref="G4:G5"/>
    <mergeCell ref="D4:D5"/>
    <mergeCell ref="E4:E5"/>
    <mergeCell ref="B1:S1"/>
    <mergeCell ref="A2:S2"/>
    <mergeCell ref="B3:S3"/>
    <mergeCell ref="A4:A5"/>
    <mergeCell ref="B4:B5"/>
    <mergeCell ref="C4:C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B1" workbookViewId="0">
      <selection activeCell="G16" sqref="G16"/>
    </sheetView>
  </sheetViews>
  <sheetFormatPr baseColWidth="10" defaultRowHeight="11.25" x14ac:dyDescent="0.2"/>
  <cols>
    <col min="1" max="1" width="4.85546875" style="84" customWidth="1"/>
    <col min="2" max="2" width="6" style="84" customWidth="1"/>
    <col min="3" max="3" width="50.5703125" style="57" customWidth="1"/>
    <col min="4" max="4" width="11.5703125" style="83" customWidth="1"/>
    <col min="5" max="5" width="0.28515625" style="83" customWidth="1"/>
    <col min="6" max="6" width="11.28515625" style="83" customWidth="1"/>
    <col min="7" max="7" width="10" style="83" customWidth="1"/>
    <col min="8" max="8" width="12" style="83" customWidth="1"/>
    <col min="9" max="9" width="0.42578125" style="83" customWidth="1"/>
    <col min="10" max="10" width="12" style="83" customWidth="1"/>
    <col min="11" max="11" width="0.28515625" style="83" customWidth="1"/>
    <col min="12" max="12" width="12.5703125" style="83" customWidth="1"/>
    <col min="13" max="13" width="11.7109375" style="70" customWidth="1"/>
    <col min="14" max="14" width="0.42578125" style="83" customWidth="1"/>
    <col min="15" max="15" width="10.42578125" style="83" customWidth="1"/>
    <col min="16" max="16" width="11" style="83" customWidth="1"/>
    <col min="17" max="17" width="11.7109375" style="70" customWidth="1"/>
    <col min="18" max="18" width="0.28515625" style="83" customWidth="1"/>
    <col min="19" max="19" width="14.85546875" style="70" customWidth="1"/>
    <col min="20" max="20" width="1" style="5" customWidth="1"/>
    <col min="21" max="16384" width="11.42578125" style="5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15" customHeight="1" x14ac:dyDescent="0.2">
      <c r="A2" s="233" t="s">
        <v>93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5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9" s="6" customFormat="1" ht="11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1"/>
      <c r="O5" s="12" t="s">
        <v>37</v>
      </c>
      <c r="P5" s="82" t="s">
        <v>38</v>
      </c>
      <c r="Q5" s="245"/>
      <c r="R5" s="240"/>
      <c r="S5" s="240"/>
    </row>
    <row r="6" spans="1:19" s="34" customFormat="1" ht="16.5" customHeight="1" x14ac:dyDescent="0.2">
      <c r="A6" s="29"/>
      <c r="B6" s="30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  <c r="P6" s="32"/>
      <c r="Q6" s="32"/>
      <c r="R6" s="32"/>
      <c r="S6" s="32"/>
    </row>
    <row r="7" spans="1:19" ht="16.5" customHeight="1" x14ac:dyDescent="0.2">
      <c r="A7" s="39">
        <v>2012</v>
      </c>
      <c r="B7" s="39" t="s">
        <v>7</v>
      </c>
      <c r="C7" s="14" t="s">
        <v>8</v>
      </c>
      <c r="D7" s="41">
        <v>647840</v>
      </c>
      <c r="E7" s="41"/>
      <c r="F7" s="41">
        <v>165190</v>
      </c>
      <c r="G7" s="41">
        <v>6165</v>
      </c>
      <c r="H7" s="41"/>
      <c r="I7" s="41"/>
      <c r="J7" s="41">
        <f>SUM(F7,G7,H7)</f>
        <v>171355</v>
      </c>
      <c r="K7" s="41"/>
      <c r="L7" s="41">
        <v>3600</v>
      </c>
      <c r="M7" s="22">
        <f t="shared" ref="M7:M17" si="0">SUM(D7,J7,L7)</f>
        <v>822795</v>
      </c>
      <c r="N7" s="41"/>
      <c r="O7" s="41"/>
      <c r="P7" s="41"/>
      <c r="Q7" s="22">
        <f t="shared" ref="Q7:Q11" si="1">SUM(O7:P7)</f>
        <v>0</v>
      </c>
      <c r="R7" s="41"/>
      <c r="S7" s="38">
        <f t="shared" ref="S7:S11" si="2">SUM(D7,J7,L7,Q7)</f>
        <v>822795</v>
      </c>
    </row>
    <row r="8" spans="1:19" ht="22.5" x14ac:dyDescent="0.2">
      <c r="A8" s="39"/>
      <c r="B8" s="39" t="s">
        <v>17</v>
      </c>
      <c r="C8" s="1" t="s">
        <v>62</v>
      </c>
      <c r="D8" s="41">
        <v>44810</v>
      </c>
      <c r="E8" s="41"/>
      <c r="F8" s="41">
        <v>24140</v>
      </c>
      <c r="G8" s="41">
        <v>1030</v>
      </c>
      <c r="H8" s="41"/>
      <c r="I8" s="41"/>
      <c r="J8" s="41">
        <f t="shared" ref="J8:J17" si="3">SUM(F8,G8,H8)</f>
        <v>25170</v>
      </c>
      <c r="K8" s="41"/>
      <c r="L8" s="41">
        <v>600</v>
      </c>
      <c r="M8" s="22">
        <f t="shared" si="0"/>
        <v>70580</v>
      </c>
      <c r="N8" s="41"/>
      <c r="O8" s="41"/>
      <c r="P8" s="41"/>
      <c r="Q8" s="22">
        <f t="shared" si="1"/>
        <v>0</v>
      </c>
      <c r="R8" s="41"/>
      <c r="S8" s="38">
        <f t="shared" si="2"/>
        <v>70580</v>
      </c>
    </row>
    <row r="9" spans="1:19" ht="16.5" customHeight="1" x14ac:dyDescent="0.2">
      <c r="A9" s="39"/>
      <c r="B9" s="39" t="s">
        <v>19</v>
      </c>
      <c r="C9" s="1" t="s">
        <v>61</v>
      </c>
      <c r="D9" s="41">
        <v>480790</v>
      </c>
      <c r="E9" s="41"/>
      <c r="F9" s="41">
        <v>101675</v>
      </c>
      <c r="G9" s="41">
        <v>4110</v>
      </c>
      <c r="H9" s="41"/>
      <c r="I9" s="41"/>
      <c r="J9" s="41">
        <f t="shared" si="3"/>
        <v>105785</v>
      </c>
      <c r="K9" s="41"/>
      <c r="L9" s="41">
        <v>2400</v>
      </c>
      <c r="M9" s="22">
        <f t="shared" si="0"/>
        <v>588975</v>
      </c>
      <c r="N9" s="41"/>
      <c r="O9" s="41"/>
      <c r="P9" s="41"/>
      <c r="Q9" s="22">
        <f t="shared" si="1"/>
        <v>0</v>
      </c>
      <c r="R9" s="41"/>
      <c r="S9" s="38">
        <f t="shared" si="2"/>
        <v>588975</v>
      </c>
    </row>
    <row r="10" spans="1:19" ht="16.5" customHeight="1" x14ac:dyDescent="0.2">
      <c r="A10" s="39"/>
      <c r="B10" s="39" t="s">
        <v>31</v>
      </c>
      <c r="C10" s="1" t="s">
        <v>63</v>
      </c>
      <c r="D10" s="41">
        <v>407945</v>
      </c>
      <c r="E10" s="41"/>
      <c r="F10" s="41">
        <v>353165</v>
      </c>
      <c r="G10" s="41">
        <v>8220</v>
      </c>
      <c r="H10" s="41"/>
      <c r="I10" s="41"/>
      <c r="J10" s="41">
        <f t="shared" si="3"/>
        <v>361385</v>
      </c>
      <c r="K10" s="41"/>
      <c r="L10" s="41">
        <v>34800</v>
      </c>
      <c r="M10" s="22">
        <f t="shared" si="0"/>
        <v>804130</v>
      </c>
      <c r="N10" s="41"/>
      <c r="O10" s="41"/>
      <c r="P10" s="41"/>
      <c r="Q10" s="22">
        <f t="shared" si="1"/>
        <v>0</v>
      </c>
      <c r="R10" s="41"/>
      <c r="S10" s="38">
        <f t="shared" si="2"/>
        <v>804130</v>
      </c>
    </row>
    <row r="11" spans="1:19" ht="16.5" customHeight="1" x14ac:dyDescent="0.2">
      <c r="A11" s="39"/>
      <c r="B11" s="39" t="s">
        <v>59</v>
      </c>
      <c r="C11" s="1" t="s">
        <v>60</v>
      </c>
      <c r="D11" s="41">
        <v>1190920</v>
      </c>
      <c r="E11" s="41"/>
      <c r="F11" s="41">
        <v>426165</v>
      </c>
      <c r="G11" s="41">
        <v>14730</v>
      </c>
      <c r="H11" s="41"/>
      <c r="I11" s="41"/>
      <c r="J11" s="41">
        <f t="shared" si="3"/>
        <v>440895</v>
      </c>
      <c r="K11" s="41"/>
      <c r="L11" s="41">
        <v>38600</v>
      </c>
      <c r="M11" s="22">
        <f t="shared" si="0"/>
        <v>1670415</v>
      </c>
      <c r="N11" s="41"/>
      <c r="O11" s="41"/>
      <c r="P11" s="41"/>
      <c r="Q11" s="22">
        <f t="shared" si="1"/>
        <v>0</v>
      </c>
      <c r="R11" s="41"/>
      <c r="S11" s="38">
        <f t="shared" si="2"/>
        <v>1670415</v>
      </c>
    </row>
    <row r="12" spans="1:19" s="8" customFormat="1" ht="16.5" customHeight="1" x14ac:dyDescent="0.2">
      <c r="A12" s="35"/>
      <c r="B12" s="36"/>
      <c r="C12" s="37" t="s">
        <v>44</v>
      </c>
      <c r="D12" s="38">
        <f>SUM(D7:D11)</f>
        <v>2772305</v>
      </c>
      <c r="E12" s="38"/>
      <c r="F12" s="38">
        <f>SUM(F7:F11)</f>
        <v>1070335</v>
      </c>
      <c r="G12" s="38">
        <f>SUM(G7:G11)</f>
        <v>34255</v>
      </c>
      <c r="H12" s="38">
        <f>SUM(H7:H11)</f>
        <v>0</v>
      </c>
      <c r="I12" s="38"/>
      <c r="J12" s="38">
        <f t="shared" si="3"/>
        <v>1104590</v>
      </c>
      <c r="K12" s="38"/>
      <c r="L12" s="38">
        <f>SUM(L7:L11)</f>
        <v>80000</v>
      </c>
      <c r="M12" s="22">
        <f t="shared" si="0"/>
        <v>3956895</v>
      </c>
      <c r="N12" s="38"/>
      <c r="O12" s="38">
        <f>SUM(O7:O11)</f>
        <v>0</v>
      </c>
      <c r="P12" s="38">
        <f>SUM(P7:P11)</f>
        <v>0</v>
      </c>
      <c r="Q12" s="22">
        <f>SUM(Q7:Q11)</f>
        <v>0</v>
      </c>
      <c r="R12" s="38"/>
      <c r="S12" s="38">
        <f>SUM(S7:S11)</f>
        <v>3956895</v>
      </c>
    </row>
    <row r="13" spans="1:19" ht="67.5" x14ac:dyDescent="0.2">
      <c r="A13" s="39"/>
      <c r="B13" s="40"/>
      <c r="C13" s="1" t="s">
        <v>131</v>
      </c>
      <c r="D13" s="41"/>
      <c r="E13" s="41"/>
      <c r="F13" s="41"/>
      <c r="G13" s="41"/>
      <c r="H13" s="41"/>
      <c r="I13" s="41"/>
      <c r="J13" s="41">
        <f t="shared" si="3"/>
        <v>0</v>
      </c>
      <c r="K13" s="41"/>
      <c r="L13" s="41"/>
      <c r="M13" s="22">
        <f t="shared" si="0"/>
        <v>0</v>
      </c>
      <c r="N13" s="41"/>
      <c r="O13" s="41"/>
      <c r="P13" s="41"/>
      <c r="Q13" s="22">
        <f>SUM(O13:P13)</f>
        <v>0</v>
      </c>
      <c r="R13" s="41"/>
      <c r="S13" s="38">
        <f>SUM(D13,J13,L13,Q13)</f>
        <v>0</v>
      </c>
    </row>
    <row r="14" spans="1:19" ht="40.5" customHeight="1" x14ac:dyDescent="0.2">
      <c r="A14" s="39"/>
      <c r="B14" s="40"/>
      <c r="C14" s="1" t="s">
        <v>132</v>
      </c>
      <c r="D14" s="85">
        <v>37031</v>
      </c>
      <c r="E14" s="41"/>
      <c r="F14" s="41"/>
      <c r="G14" s="41"/>
      <c r="H14" s="41"/>
      <c r="I14" s="41"/>
      <c r="J14" s="41">
        <f>SUM(F14,G14,H14)</f>
        <v>0</v>
      </c>
      <c r="K14" s="41"/>
      <c r="L14" s="41"/>
      <c r="M14" s="22">
        <f>SUM(D14,J14,L14)</f>
        <v>37031</v>
      </c>
      <c r="N14" s="41"/>
      <c r="O14" s="41"/>
      <c r="P14" s="41"/>
      <c r="Q14" s="22">
        <f>SUM(O14:P14)</f>
        <v>0</v>
      </c>
      <c r="R14" s="41"/>
      <c r="S14" s="38">
        <f>SUM(D14,J14,L14,Q14)</f>
        <v>37031</v>
      </c>
    </row>
    <row r="15" spans="1:19" ht="38.25" customHeight="1" x14ac:dyDescent="0.2">
      <c r="A15" s="39"/>
      <c r="B15" s="40"/>
      <c r="C15" s="1" t="s">
        <v>133</v>
      </c>
      <c r="D15" s="41">
        <v>-6396</v>
      </c>
      <c r="E15" s="41"/>
      <c r="F15" s="41"/>
      <c r="G15" s="41"/>
      <c r="H15" s="41"/>
      <c r="I15" s="41"/>
      <c r="J15" s="41">
        <f>SUM(F15,G15,H15)</f>
        <v>0</v>
      </c>
      <c r="K15" s="41"/>
      <c r="L15" s="41"/>
      <c r="M15" s="22">
        <f>SUM(D15,J15,L15)</f>
        <v>-6396</v>
      </c>
      <c r="N15" s="41"/>
      <c r="O15" s="41"/>
      <c r="P15" s="41"/>
      <c r="Q15" s="22">
        <f>SUM(O15:P15)</f>
        <v>0</v>
      </c>
      <c r="R15" s="41"/>
      <c r="S15" s="38">
        <f>SUM(D15,J15,L15,Q15)</f>
        <v>-6396</v>
      </c>
    </row>
    <row r="16" spans="1:19" ht="17.25" customHeight="1" x14ac:dyDescent="0.2">
      <c r="A16" s="39"/>
      <c r="B16" s="40"/>
      <c r="C16" s="14" t="s">
        <v>29</v>
      </c>
      <c r="D16" s="41">
        <v>-93901.06</v>
      </c>
      <c r="E16" s="41"/>
      <c r="F16" s="41">
        <v>-2485.4699999999998</v>
      </c>
      <c r="G16" s="41">
        <v>-4604.88</v>
      </c>
      <c r="H16" s="41">
        <v>59687.11</v>
      </c>
      <c r="I16" s="41"/>
      <c r="J16" s="41">
        <f t="shared" si="3"/>
        <v>52596.76</v>
      </c>
      <c r="K16" s="41"/>
      <c r="L16" s="41">
        <v>41304.300000000003</v>
      </c>
      <c r="M16" s="22">
        <f t="shared" si="0"/>
        <v>0</v>
      </c>
      <c r="N16" s="41"/>
      <c r="O16" s="41"/>
      <c r="P16" s="41"/>
      <c r="Q16" s="22">
        <f>SUM(O16:P16)</f>
        <v>0</v>
      </c>
      <c r="R16" s="41"/>
      <c r="S16" s="38">
        <f>SUM(D16,J16,L16,Q16)</f>
        <v>7.2759576141834259E-12</v>
      </c>
    </row>
    <row r="17" spans="1:19" s="8" customFormat="1" ht="17.25" customHeight="1" x14ac:dyDescent="0.2">
      <c r="A17" s="35"/>
      <c r="B17" s="35"/>
      <c r="C17" s="21" t="s">
        <v>52</v>
      </c>
      <c r="D17" s="42">
        <f>SUM(D12:D16)</f>
        <v>2709038.94</v>
      </c>
      <c r="E17" s="42"/>
      <c r="F17" s="42">
        <f>SUM(F12:F16)</f>
        <v>1067849.53</v>
      </c>
      <c r="G17" s="42">
        <f>SUM(G12:G16)</f>
        <v>29650.12</v>
      </c>
      <c r="H17" s="42">
        <f>SUM(H12:H16)</f>
        <v>59687.11</v>
      </c>
      <c r="I17" s="42"/>
      <c r="J17" s="42">
        <f t="shared" si="3"/>
        <v>1157186.7600000002</v>
      </c>
      <c r="K17" s="42"/>
      <c r="L17" s="42">
        <f>SUM(L12:L16)</f>
        <v>121304.3</v>
      </c>
      <c r="M17" s="22">
        <f t="shared" si="0"/>
        <v>3987530</v>
      </c>
      <c r="N17" s="42"/>
      <c r="O17" s="42">
        <f>SUM(O12:O16)</f>
        <v>0</v>
      </c>
      <c r="P17" s="42">
        <f>SUM(P12:P16)</f>
        <v>0</v>
      </c>
      <c r="Q17" s="22">
        <f>SUM(Q12:Q16)</f>
        <v>0</v>
      </c>
      <c r="R17" s="42"/>
      <c r="S17" s="42">
        <f>SUM(S12:S16)</f>
        <v>3987530</v>
      </c>
    </row>
    <row r="18" spans="1:19" s="28" customFormat="1" ht="17.25" customHeight="1" x14ac:dyDescent="0.2">
      <c r="A18" s="23"/>
      <c r="B18" s="24"/>
      <c r="C18" s="25" t="s">
        <v>53</v>
      </c>
      <c r="D18" s="26">
        <f>2631240.38+31264.5-1965.58-0.07</f>
        <v>2660539.23</v>
      </c>
      <c r="E18" s="26"/>
      <c r="F18" s="26">
        <f>996016.48-26169.4-283.56</f>
        <v>969563.5199999999</v>
      </c>
      <c r="G18" s="26">
        <f>29592.31-284.3</f>
        <v>29308.010000000002</v>
      </c>
      <c r="H18" s="26">
        <v>58189.31</v>
      </c>
      <c r="I18" s="26"/>
      <c r="J18" s="26">
        <f>SUM(F18:H18)</f>
        <v>1057060.8399999999</v>
      </c>
      <c r="K18" s="26"/>
      <c r="L18" s="26">
        <v>121304.3</v>
      </c>
      <c r="M18" s="27">
        <f>SUM(D18,J18,L18)</f>
        <v>3838904.3699999996</v>
      </c>
      <c r="N18" s="26"/>
      <c r="O18" s="26">
        <v>0</v>
      </c>
      <c r="P18" s="26">
        <v>0</v>
      </c>
      <c r="Q18" s="26">
        <f>SUM(O18:P18)</f>
        <v>0</v>
      </c>
      <c r="R18" s="26"/>
      <c r="S18" s="26">
        <f>SUM(M18,Q18)</f>
        <v>3838904.3699999996</v>
      </c>
    </row>
    <row r="19" spans="1:19" s="34" customFormat="1" ht="17.25" customHeight="1" x14ac:dyDescent="0.2">
      <c r="A19" s="29"/>
      <c r="B19" s="30"/>
      <c r="C19" s="31" t="s">
        <v>50</v>
      </c>
      <c r="D19" s="32">
        <f>D17-D18</f>
        <v>48499.709999999963</v>
      </c>
      <c r="E19" s="32"/>
      <c r="F19" s="32">
        <f>F17-F18</f>
        <v>98286.010000000126</v>
      </c>
      <c r="G19" s="32">
        <f>G17-G18</f>
        <v>342.10999999999694</v>
      </c>
      <c r="H19" s="32">
        <f>H17-H18</f>
        <v>1497.8000000000029</v>
      </c>
      <c r="I19" s="32"/>
      <c r="J19" s="32">
        <f>J17-J18</f>
        <v>100125.92000000039</v>
      </c>
      <c r="K19" s="32"/>
      <c r="L19" s="32">
        <f>L17-L18</f>
        <v>0</v>
      </c>
      <c r="M19" s="33">
        <f>M17-M18</f>
        <v>148625.63000000035</v>
      </c>
      <c r="N19" s="32"/>
      <c r="O19" s="32">
        <f>O17-O18</f>
        <v>0</v>
      </c>
      <c r="P19" s="32">
        <f>P17-P18</f>
        <v>0</v>
      </c>
      <c r="Q19" s="32">
        <f>Q17-Q18</f>
        <v>0</v>
      </c>
      <c r="R19" s="32"/>
      <c r="S19" s="32">
        <f>S17-S18</f>
        <v>148625.63000000035</v>
      </c>
    </row>
    <row r="20" spans="1:19" s="8" customFormat="1" ht="17.25" customHeight="1" x14ac:dyDescent="0.2">
      <c r="A20" s="80"/>
      <c r="B20" s="8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</row>
    <row r="21" spans="1:19" s="8" customFormat="1" x14ac:dyDescent="0.2">
      <c r="A21" s="80"/>
      <c r="B21" s="80" t="s">
        <v>45</v>
      </c>
      <c r="C21" s="86" t="s">
        <v>135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s="8" customFormat="1" x14ac:dyDescent="0.2">
      <c r="A22" s="80"/>
      <c r="B22" s="80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8" customFormat="1" x14ac:dyDescent="0.2">
      <c r="A23" s="80"/>
      <c r="B23" s="80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s="8" customFormat="1" x14ac:dyDescent="0.2">
      <c r="A24" s="80"/>
      <c r="B24" s="8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s="8" customFormat="1" x14ac:dyDescent="0.2">
      <c r="A25" s="80"/>
      <c r="B25" s="80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</sheetData>
  <sheetProtection password="C96C" sheet="1" objects="1" scenarios="1" selectLockedCells="1" selectUnlockedCells="1"/>
  <mergeCells count="21">
    <mergeCell ref="B4:B5"/>
    <mergeCell ref="C4:C5"/>
    <mergeCell ref="D4:D5"/>
    <mergeCell ref="E4:E5"/>
    <mergeCell ref="F4:F5"/>
    <mergeCell ref="C20:S20"/>
    <mergeCell ref="B1:R1"/>
    <mergeCell ref="A2:R2"/>
    <mergeCell ref="B3:R3"/>
    <mergeCell ref="M4:M5"/>
    <mergeCell ref="O4:P4"/>
    <mergeCell ref="Q4:Q5"/>
    <mergeCell ref="R4:R5"/>
    <mergeCell ref="S4:S5"/>
    <mergeCell ref="G4:G5"/>
    <mergeCell ref="H4:H5"/>
    <mergeCell ref="I4:I5"/>
    <mergeCell ref="J4:J5"/>
    <mergeCell ref="K4:K5"/>
    <mergeCell ref="L4:L5"/>
    <mergeCell ref="A4:A5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B1" workbookViewId="0">
      <selection activeCell="L22" sqref="L22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11.5703125" style="153" customWidth="1"/>
    <col min="5" max="5" width="0.28515625" style="153" customWidth="1"/>
    <col min="6" max="6" width="11.28515625" style="153" customWidth="1"/>
    <col min="7" max="7" width="10" style="153" customWidth="1"/>
    <col min="8" max="8" width="12" style="153" customWidth="1"/>
    <col min="9" max="9" width="0.42578125" style="153" customWidth="1"/>
    <col min="10" max="10" width="12" style="153" customWidth="1"/>
    <col min="11" max="11" width="0.28515625" style="153" customWidth="1"/>
    <col min="12" max="12" width="12.5703125" style="153" customWidth="1"/>
    <col min="13" max="13" width="11.7109375" style="149" customWidth="1"/>
    <col min="14" max="14" width="0.42578125" style="153" customWidth="1"/>
    <col min="15" max="15" width="10.42578125" style="153" customWidth="1"/>
    <col min="16" max="16" width="11" style="153" customWidth="1"/>
    <col min="17" max="17" width="11.7109375" style="149" customWidth="1"/>
    <col min="18" max="18" width="0.28515625" style="153" customWidth="1"/>
    <col min="19" max="19" width="14.85546875" style="149" customWidth="1"/>
    <col min="20" max="20" width="1" style="94" customWidth="1"/>
    <col min="21" max="16384" width="11.42578125" style="94"/>
  </cols>
  <sheetData>
    <row r="1" spans="1:33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33" ht="15" customHeight="1" x14ac:dyDescent="0.2">
      <c r="A2" s="217" t="s">
        <v>134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94"/>
    </row>
    <row r="3" spans="1:33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33" s="95" customFormat="1" ht="11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33" s="95" customForma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151"/>
      <c r="O5" s="99" t="s">
        <v>37</v>
      </c>
      <c r="P5" s="152" t="s">
        <v>38</v>
      </c>
      <c r="Q5" s="226"/>
      <c r="R5" s="224"/>
      <c r="S5" s="224"/>
    </row>
    <row r="6" spans="1:33" ht="17.25" customHeight="1" x14ac:dyDescent="0.2">
      <c r="A6" s="138">
        <v>2013</v>
      </c>
      <c r="B6" s="138" t="s">
        <v>7</v>
      </c>
      <c r="C6" s="102" t="s">
        <v>8</v>
      </c>
      <c r="D6" s="140">
        <v>735065</v>
      </c>
      <c r="E6" s="140"/>
      <c r="F6" s="140">
        <v>114800</v>
      </c>
      <c r="G6" s="140">
        <v>4560</v>
      </c>
      <c r="H6" s="140">
        <v>1800</v>
      </c>
      <c r="I6" s="140"/>
      <c r="J6" s="140">
        <f>SUM(F6,G6,H6)</f>
        <v>121160</v>
      </c>
      <c r="K6" s="140"/>
      <c r="L6" s="140">
        <v>7875</v>
      </c>
      <c r="M6" s="112">
        <f t="shared" ref="M6:M17" si="0">SUM(D6,J6,L6)</f>
        <v>864100</v>
      </c>
      <c r="N6" s="140"/>
      <c r="O6" s="140"/>
      <c r="P6" s="140"/>
      <c r="Q6" s="112">
        <f t="shared" ref="Q6:Q13" si="1">SUM(O6:P6)</f>
        <v>0</v>
      </c>
      <c r="R6" s="140"/>
      <c r="S6" s="137">
        <f t="shared" ref="S6:S13" si="2">SUM(D6,J6,L6,Q6)</f>
        <v>864100</v>
      </c>
      <c r="U6" s="153"/>
      <c r="V6" s="153"/>
      <c r="X6" s="154"/>
      <c r="AA6" s="154"/>
      <c r="AB6" s="155"/>
      <c r="AC6" s="156"/>
      <c r="AD6" s="153"/>
      <c r="AE6" s="153"/>
      <c r="AF6" s="153"/>
      <c r="AG6" s="154"/>
    </row>
    <row r="7" spans="1:33" ht="23.25" customHeight="1" x14ac:dyDescent="0.2">
      <c r="A7" s="138"/>
      <c r="B7" s="138" t="s">
        <v>17</v>
      </c>
      <c r="C7" s="102" t="s">
        <v>123</v>
      </c>
      <c r="D7" s="140">
        <v>166365</v>
      </c>
      <c r="E7" s="140"/>
      <c r="F7" s="140">
        <v>211895</v>
      </c>
      <c r="G7" s="140">
        <v>7610</v>
      </c>
      <c r="H7" s="140">
        <v>3000</v>
      </c>
      <c r="I7" s="140"/>
      <c r="J7" s="140">
        <f t="shared" ref="J7:J17" si="3">SUM(F7,G7,H7)</f>
        <v>222505</v>
      </c>
      <c r="K7" s="140"/>
      <c r="L7" s="140">
        <v>13125</v>
      </c>
      <c r="M7" s="112">
        <f t="shared" si="0"/>
        <v>401995</v>
      </c>
      <c r="N7" s="140"/>
      <c r="O7" s="140"/>
      <c r="P7" s="140"/>
      <c r="Q7" s="112">
        <f t="shared" si="1"/>
        <v>0</v>
      </c>
      <c r="R7" s="140"/>
      <c r="S7" s="137">
        <f t="shared" si="2"/>
        <v>401995</v>
      </c>
      <c r="U7" s="153"/>
      <c r="V7" s="153"/>
      <c r="X7" s="154"/>
      <c r="AA7" s="154"/>
      <c r="AB7" s="155"/>
      <c r="AC7" s="156"/>
      <c r="AD7" s="153"/>
      <c r="AE7" s="153"/>
      <c r="AF7" s="153"/>
      <c r="AG7" s="154"/>
    </row>
    <row r="8" spans="1:33" ht="17.25" customHeight="1" x14ac:dyDescent="0.2">
      <c r="A8" s="138"/>
      <c r="B8" s="138" t="s">
        <v>19</v>
      </c>
      <c r="C8" s="102" t="s">
        <v>124</v>
      </c>
      <c r="D8" s="140">
        <v>463385</v>
      </c>
      <c r="E8" s="140"/>
      <c r="F8" s="140">
        <v>531135</v>
      </c>
      <c r="G8" s="140">
        <v>7230</v>
      </c>
      <c r="H8" s="140">
        <v>27850</v>
      </c>
      <c r="I8" s="140"/>
      <c r="J8" s="140">
        <f t="shared" si="3"/>
        <v>566215</v>
      </c>
      <c r="K8" s="140"/>
      <c r="L8" s="140">
        <v>37470</v>
      </c>
      <c r="M8" s="112">
        <f t="shared" si="0"/>
        <v>1067070</v>
      </c>
      <c r="N8" s="140"/>
      <c r="O8" s="140"/>
      <c r="P8" s="140"/>
      <c r="Q8" s="112">
        <f t="shared" si="1"/>
        <v>0</v>
      </c>
      <c r="R8" s="140"/>
      <c r="S8" s="137">
        <f t="shared" si="2"/>
        <v>1067070</v>
      </c>
      <c r="U8" s="153"/>
      <c r="V8" s="153"/>
      <c r="X8" s="154"/>
      <c r="AA8" s="154"/>
      <c r="AB8" s="155"/>
      <c r="AC8" s="156"/>
      <c r="AD8" s="153"/>
      <c r="AE8" s="153"/>
      <c r="AF8" s="153"/>
      <c r="AG8" s="154"/>
    </row>
    <row r="9" spans="1:33" ht="17.25" customHeight="1" x14ac:dyDescent="0.2">
      <c r="A9" s="138"/>
      <c r="B9" s="138" t="s">
        <v>31</v>
      </c>
      <c r="C9" s="102" t="s">
        <v>125</v>
      </c>
      <c r="D9" s="140">
        <v>405325</v>
      </c>
      <c r="E9" s="140"/>
      <c r="F9" s="140">
        <v>445455</v>
      </c>
      <c r="G9" s="140">
        <v>4945</v>
      </c>
      <c r="H9" s="140">
        <v>26950</v>
      </c>
      <c r="I9" s="140"/>
      <c r="J9" s="140">
        <f t="shared" si="3"/>
        <v>477350</v>
      </c>
      <c r="K9" s="140"/>
      <c r="L9" s="140">
        <v>33530</v>
      </c>
      <c r="M9" s="112">
        <f t="shared" si="0"/>
        <v>916205</v>
      </c>
      <c r="N9" s="140"/>
      <c r="O9" s="140"/>
      <c r="P9" s="140"/>
      <c r="Q9" s="112">
        <f t="shared" si="1"/>
        <v>0</v>
      </c>
      <c r="R9" s="140"/>
      <c r="S9" s="137">
        <f t="shared" si="2"/>
        <v>916205</v>
      </c>
      <c r="U9" s="153"/>
      <c r="V9" s="153"/>
      <c r="X9" s="154"/>
      <c r="AA9" s="154"/>
      <c r="AB9" s="155"/>
      <c r="AC9" s="156"/>
      <c r="AD9" s="153"/>
      <c r="AE9" s="153"/>
      <c r="AF9" s="153"/>
      <c r="AG9" s="154"/>
    </row>
    <row r="10" spans="1:33" ht="17.25" customHeight="1" x14ac:dyDescent="0.2">
      <c r="A10" s="138"/>
      <c r="B10" s="138" t="s">
        <v>59</v>
      </c>
      <c r="C10" s="102" t="s">
        <v>126</v>
      </c>
      <c r="D10" s="140">
        <v>1242950</v>
      </c>
      <c r="E10" s="140"/>
      <c r="F10" s="140">
        <v>361210</v>
      </c>
      <c r="G10" s="140">
        <v>13695</v>
      </c>
      <c r="H10" s="140">
        <v>5400</v>
      </c>
      <c r="I10" s="140"/>
      <c r="J10" s="140">
        <f t="shared" si="3"/>
        <v>380305</v>
      </c>
      <c r="K10" s="140"/>
      <c r="L10" s="140">
        <v>23625</v>
      </c>
      <c r="M10" s="112">
        <f t="shared" si="0"/>
        <v>1646880</v>
      </c>
      <c r="N10" s="140"/>
      <c r="O10" s="140"/>
      <c r="P10" s="140"/>
      <c r="Q10" s="112">
        <f t="shared" si="1"/>
        <v>0</v>
      </c>
      <c r="R10" s="140"/>
      <c r="S10" s="137">
        <f t="shared" si="2"/>
        <v>1646880</v>
      </c>
      <c r="U10" s="153"/>
      <c r="V10" s="153"/>
      <c r="X10" s="154"/>
      <c r="AA10" s="154"/>
      <c r="AB10" s="155"/>
      <c r="AC10" s="156"/>
      <c r="AD10" s="153"/>
      <c r="AE10" s="153"/>
      <c r="AF10" s="153"/>
      <c r="AG10" s="154"/>
    </row>
    <row r="11" spans="1:33" ht="17.25" customHeight="1" x14ac:dyDescent="0.2">
      <c r="A11" s="138"/>
      <c r="B11" s="139" t="s">
        <v>26</v>
      </c>
      <c r="C11" s="102" t="s">
        <v>127</v>
      </c>
      <c r="D11" s="140">
        <v>152390</v>
      </c>
      <c r="E11" s="140"/>
      <c r="F11" s="140">
        <v>4260</v>
      </c>
      <c r="G11" s="140"/>
      <c r="H11" s="140"/>
      <c r="I11" s="140"/>
      <c r="J11" s="140">
        <f>SUM(F11,G11,H11)</f>
        <v>4260</v>
      </c>
      <c r="K11" s="140"/>
      <c r="L11" s="140"/>
      <c r="M11" s="112">
        <f>SUM(D11,J11,L11)</f>
        <v>156650</v>
      </c>
      <c r="N11" s="140"/>
      <c r="O11" s="140"/>
      <c r="P11" s="140"/>
      <c r="Q11" s="112">
        <f t="shared" si="1"/>
        <v>0</v>
      </c>
      <c r="R11" s="140"/>
      <c r="S11" s="137">
        <f t="shared" si="2"/>
        <v>156650</v>
      </c>
      <c r="U11" s="153"/>
      <c r="V11" s="153"/>
      <c r="X11" s="154"/>
      <c r="AA11" s="154"/>
      <c r="AB11" s="155"/>
      <c r="AC11" s="156"/>
      <c r="AD11" s="153"/>
      <c r="AE11" s="153"/>
      <c r="AF11" s="153"/>
      <c r="AG11" s="154"/>
    </row>
    <row r="12" spans="1:33" ht="25.5" customHeight="1" x14ac:dyDescent="0.2">
      <c r="A12" s="138"/>
      <c r="B12" s="139" t="s">
        <v>128</v>
      </c>
      <c r="C12" s="102" t="s">
        <v>129</v>
      </c>
      <c r="D12" s="140"/>
      <c r="E12" s="140"/>
      <c r="F12" s="140">
        <v>100</v>
      </c>
      <c r="G12" s="140"/>
      <c r="H12" s="140"/>
      <c r="I12" s="140"/>
      <c r="J12" s="140">
        <f>SUM(F12,G12,H12)</f>
        <v>100</v>
      </c>
      <c r="K12" s="140"/>
      <c r="L12" s="140"/>
      <c r="M12" s="112">
        <f>SUM(D12,J12,L12)</f>
        <v>100</v>
      </c>
      <c r="N12" s="140"/>
      <c r="O12" s="140"/>
      <c r="P12" s="140"/>
      <c r="Q12" s="112">
        <f t="shared" si="1"/>
        <v>0</v>
      </c>
      <c r="R12" s="140"/>
      <c r="S12" s="137">
        <f t="shared" si="2"/>
        <v>100</v>
      </c>
      <c r="U12" s="153"/>
      <c r="V12" s="153"/>
      <c r="X12" s="154"/>
      <c r="AA12" s="154"/>
      <c r="AB12" s="155"/>
      <c r="AC12" s="156"/>
      <c r="AD12" s="153"/>
      <c r="AE12" s="153"/>
      <c r="AF12" s="153"/>
      <c r="AG12" s="154"/>
    </row>
    <row r="13" spans="1:33" ht="60.75" customHeight="1" x14ac:dyDescent="0.2">
      <c r="A13" s="138"/>
      <c r="B13" s="139" t="s">
        <v>130</v>
      </c>
      <c r="C13" s="102" t="s">
        <v>136</v>
      </c>
      <c r="D13" s="140"/>
      <c r="E13" s="140"/>
      <c r="F13" s="140"/>
      <c r="G13" s="140"/>
      <c r="H13" s="140"/>
      <c r="I13" s="140"/>
      <c r="J13" s="140">
        <f>SUM(F13,G13,H13)</f>
        <v>0</v>
      </c>
      <c r="K13" s="140"/>
      <c r="L13" s="140"/>
      <c r="M13" s="112">
        <f>SUM(D13,J13,L13)</f>
        <v>0</v>
      </c>
      <c r="N13" s="140"/>
      <c r="O13" s="140"/>
      <c r="P13" s="140"/>
      <c r="Q13" s="112">
        <f t="shared" si="1"/>
        <v>0</v>
      </c>
      <c r="R13" s="140"/>
      <c r="S13" s="137">
        <f t="shared" si="2"/>
        <v>0</v>
      </c>
      <c r="U13" s="153"/>
      <c r="V13" s="153"/>
      <c r="X13" s="154"/>
      <c r="AA13" s="154"/>
      <c r="AB13" s="155"/>
      <c r="AC13" s="156"/>
      <c r="AD13" s="153"/>
      <c r="AE13" s="153"/>
      <c r="AF13" s="153"/>
      <c r="AG13" s="154"/>
    </row>
    <row r="14" spans="1:33" s="96" customFormat="1" ht="18" customHeight="1" x14ac:dyDescent="0.2">
      <c r="A14" s="134"/>
      <c r="B14" s="135"/>
      <c r="C14" s="136" t="s">
        <v>44</v>
      </c>
      <c r="D14" s="137">
        <f>SUM(D6:D13)</f>
        <v>3165480</v>
      </c>
      <c r="E14" s="137"/>
      <c r="F14" s="137">
        <f>SUM(F6:F13)</f>
        <v>1668855</v>
      </c>
      <c r="G14" s="137">
        <f>SUM(G6:G13)</f>
        <v>38040</v>
      </c>
      <c r="H14" s="137">
        <f>SUM(H6:H13)</f>
        <v>65000</v>
      </c>
      <c r="I14" s="137"/>
      <c r="J14" s="137">
        <f t="shared" si="3"/>
        <v>1771895</v>
      </c>
      <c r="K14" s="137"/>
      <c r="L14" s="137">
        <f>SUM(L6:L13)</f>
        <v>115625</v>
      </c>
      <c r="M14" s="112">
        <f t="shared" si="0"/>
        <v>5053000</v>
      </c>
      <c r="N14" s="137"/>
      <c r="O14" s="137">
        <f>SUM(O6:O13)</f>
        <v>0</v>
      </c>
      <c r="P14" s="137">
        <f>SUM(P6:P13)</f>
        <v>0</v>
      </c>
      <c r="Q14" s="112">
        <f>SUM(Q6:Q13)</f>
        <v>0</v>
      </c>
      <c r="R14" s="137"/>
      <c r="S14" s="137">
        <f>SUM(S6:S13)</f>
        <v>5053000</v>
      </c>
      <c r="U14" s="149"/>
      <c r="V14" s="149"/>
      <c r="X14" s="95"/>
      <c r="AA14" s="95"/>
      <c r="AB14" s="155"/>
      <c r="AC14" s="157"/>
      <c r="AD14" s="149"/>
      <c r="AE14" s="149"/>
      <c r="AF14" s="149"/>
      <c r="AG14" s="95"/>
    </row>
    <row r="15" spans="1:33" ht="24" hidden="1" customHeight="1" x14ac:dyDescent="0.2">
      <c r="A15" s="138"/>
      <c r="B15" s="139"/>
      <c r="C15" s="158"/>
      <c r="D15" s="140"/>
      <c r="E15" s="140"/>
      <c r="F15" s="140"/>
      <c r="G15" s="140"/>
      <c r="H15" s="140"/>
      <c r="I15" s="140"/>
      <c r="J15" s="140">
        <f t="shared" si="3"/>
        <v>0</v>
      </c>
      <c r="K15" s="140"/>
      <c r="L15" s="140"/>
      <c r="M15" s="112">
        <f t="shared" si="0"/>
        <v>0</v>
      </c>
      <c r="N15" s="140"/>
      <c r="O15" s="140"/>
      <c r="P15" s="140"/>
      <c r="Q15" s="112">
        <f>SUM(O15:P15)</f>
        <v>0</v>
      </c>
      <c r="R15" s="140"/>
      <c r="S15" s="137">
        <f>SUM(D15,J15,L15,Q15)</f>
        <v>0</v>
      </c>
      <c r="U15" s="153"/>
      <c r="V15" s="153"/>
      <c r="X15" s="154"/>
      <c r="AA15" s="154"/>
      <c r="AB15" s="155"/>
      <c r="AC15" s="156"/>
      <c r="AD15" s="153"/>
      <c r="AE15" s="153"/>
      <c r="AF15" s="153"/>
      <c r="AG15" s="154"/>
    </row>
    <row r="16" spans="1:33" ht="18" customHeight="1" x14ac:dyDescent="0.2">
      <c r="A16" s="138"/>
      <c r="B16" s="139"/>
      <c r="C16" s="102" t="s">
        <v>29</v>
      </c>
      <c r="D16" s="140">
        <v>5593.06</v>
      </c>
      <c r="E16" s="140"/>
      <c r="F16" s="140">
        <v>-180953.97</v>
      </c>
      <c r="G16" s="140"/>
      <c r="H16" s="140">
        <v>175360.91</v>
      </c>
      <c r="I16" s="140"/>
      <c r="J16" s="140">
        <f t="shared" si="3"/>
        <v>-5593.0599999999977</v>
      </c>
      <c r="K16" s="140"/>
      <c r="L16" s="140"/>
      <c r="M16" s="112">
        <f t="shared" si="0"/>
        <v>0</v>
      </c>
      <c r="N16" s="140"/>
      <c r="O16" s="140">
        <v>0</v>
      </c>
      <c r="P16" s="140">
        <v>0</v>
      </c>
      <c r="Q16" s="112">
        <f>SUM(O16:P16)</f>
        <v>0</v>
      </c>
      <c r="R16" s="140"/>
      <c r="S16" s="137">
        <f>SUM(D16,J16,L16,Q16)</f>
        <v>2.7284841053187847E-12</v>
      </c>
      <c r="U16" s="153"/>
      <c r="V16" s="153"/>
      <c r="X16" s="154"/>
      <c r="AA16" s="154"/>
      <c r="AB16" s="155"/>
      <c r="AC16" s="156"/>
      <c r="AD16" s="153"/>
      <c r="AE16" s="153"/>
      <c r="AF16" s="153"/>
      <c r="AG16" s="154"/>
    </row>
    <row r="17" spans="1:33" s="96" customFormat="1" ht="18" customHeight="1" x14ac:dyDescent="0.2">
      <c r="A17" s="134"/>
      <c r="B17" s="134"/>
      <c r="C17" s="110" t="s">
        <v>52</v>
      </c>
      <c r="D17" s="141">
        <f>SUM(D14:D16)</f>
        <v>3171073.06</v>
      </c>
      <c r="E17" s="141"/>
      <c r="F17" s="141">
        <f>SUM(F14:F16)</f>
        <v>1487901.03</v>
      </c>
      <c r="G17" s="141">
        <f>SUM(G14:G16)</f>
        <v>38040</v>
      </c>
      <c r="H17" s="141">
        <f>SUM(H14:H16)</f>
        <v>240360.91</v>
      </c>
      <c r="I17" s="141"/>
      <c r="J17" s="141">
        <f t="shared" si="3"/>
        <v>1766301.94</v>
      </c>
      <c r="K17" s="141"/>
      <c r="L17" s="141">
        <f>SUM(L14:L16)</f>
        <v>115625</v>
      </c>
      <c r="M17" s="112">
        <f t="shared" si="0"/>
        <v>5053000</v>
      </c>
      <c r="N17" s="141"/>
      <c r="O17" s="141">
        <f>SUM(O14:O16)</f>
        <v>0</v>
      </c>
      <c r="P17" s="141">
        <f>SUM(P14:P16)</f>
        <v>0</v>
      </c>
      <c r="Q17" s="112">
        <f>SUM(Q14:Q16)</f>
        <v>0</v>
      </c>
      <c r="R17" s="141"/>
      <c r="S17" s="141">
        <f>SUM(S14:S16)</f>
        <v>5053000</v>
      </c>
      <c r="U17" s="149"/>
      <c r="V17" s="149"/>
      <c r="X17" s="95"/>
      <c r="AA17" s="95"/>
      <c r="AB17" s="155"/>
      <c r="AC17" s="157"/>
      <c r="AD17" s="149"/>
      <c r="AE17" s="149"/>
      <c r="AF17" s="149"/>
      <c r="AG17" s="95"/>
    </row>
    <row r="18" spans="1:33" s="119" customFormat="1" ht="18" customHeight="1" x14ac:dyDescent="0.2">
      <c r="A18" s="115"/>
      <c r="B18" s="116"/>
      <c r="C18" s="117" t="s">
        <v>137</v>
      </c>
      <c r="D18" s="118">
        <v>2962302.26</v>
      </c>
      <c r="E18" s="118"/>
      <c r="F18" s="118">
        <v>1247504.48</v>
      </c>
      <c r="G18" s="118">
        <v>36520.120000000003</v>
      </c>
      <c r="H18" s="118">
        <v>239639.61</v>
      </c>
      <c r="I18" s="118"/>
      <c r="J18" s="118">
        <f>SUM(F18:H18)</f>
        <v>1523664.21</v>
      </c>
      <c r="K18" s="118"/>
      <c r="L18" s="118">
        <v>114688.83</v>
      </c>
      <c r="M18" s="142">
        <f>SUM(D18,J18,L18)</f>
        <v>4600655.3</v>
      </c>
      <c r="N18" s="118"/>
      <c r="O18" s="118">
        <v>0</v>
      </c>
      <c r="P18" s="118">
        <v>0</v>
      </c>
      <c r="Q18" s="118">
        <f>SUM(O18:P18)</f>
        <v>0</v>
      </c>
      <c r="R18" s="118"/>
      <c r="S18" s="118">
        <f>SUM(M18,Q18)</f>
        <v>4600655.3</v>
      </c>
      <c r="U18" s="159"/>
      <c r="V18" s="159"/>
      <c r="X18" s="160"/>
      <c r="AA18" s="160"/>
      <c r="AB18" s="125"/>
      <c r="AC18" s="161"/>
      <c r="AD18" s="159"/>
      <c r="AE18" s="159"/>
      <c r="AF18" s="159"/>
      <c r="AG18" s="160"/>
    </row>
    <row r="19" spans="1:33" s="125" customFormat="1" ht="18" customHeight="1" x14ac:dyDescent="0.2">
      <c r="A19" s="120"/>
      <c r="B19" s="121"/>
      <c r="C19" s="122" t="s">
        <v>50</v>
      </c>
      <c r="D19" s="123">
        <f>D17-D18</f>
        <v>208770.80000000028</v>
      </c>
      <c r="E19" s="123"/>
      <c r="F19" s="123">
        <f>F17-F18</f>
        <v>240396.55000000005</v>
      </c>
      <c r="G19" s="123">
        <f>G17-G18</f>
        <v>1519.8799999999974</v>
      </c>
      <c r="H19" s="123">
        <f>H17-H18</f>
        <v>721.30000000001746</v>
      </c>
      <c r="I19" s="123"/>
      <c r="J19" s="123">
        <f>J17-J18</f>
        <v>242637.72999999998</v>
      </c>
      <c r="K19" s="123"/>
      <c r="L19" s="123">
        <f>L17-L18</f>
        <v>936.16999999999825</v>
      </c>
      <c r="M19" s="124">
        <f>M17-M18</f>
        <v>452344.70000000019</v>
      </c>
      <c r="N19" s="123"/>
      <c r="O19" s="123">
        <f>O17-O18</f>
        <v>0</v>
      </c>
      <c r="P19" s="123">
        <f>P17-P18</f>
        <v>0</v>
      </c>
      <c r="Q19" s="123">
        <f>Q17-Q18</f>
        <v>0</v>
      </c>
      <c r="R19" s="123"/>
      <c r="S19" s="123">
        <f>S17-S18</f>
        <v>452344.70000000019</v>
      </c>
      <c r="U19" s="162"/>
      <c r="V19" s="162"/>
      <c r="X19" s="163"/>
      <c r="AA19" s="163"/>
      <c r="AC19" s="164"/>
      <c r="AD19" s="162"/>
      <c r="AE19" s="162"/>
      <c r="AF19" s="162"/>
      <c r="AG19" s="163"/>
    </row>
    <row r="21" spans="1:33" s="96" customFormat="1" ht="11.25" customHeight="1" x14ac:dyDescent="0.2">
      <c r="A21" s="150"/>
      <c r="B21" s="150" t="s">
        <v>45</v>
      </c>
      <c r="C21" s="165" t="s">
        <v>135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</sheetData>
  <sheetProtection password="C96C" sheet="1" objects="1" scenarios="1" selectLockedCells="1"/>
  <mergeCells count="20">
    <mergeCell ref="S4:S5"/>
    <mergeCell ref="G4:G5"/>
    <mergeCell ref="H4:H5"/>
    <mergeCell ref="I4:I5"/>
    <mergeCell ref="J4:J5"/>
    <mergeCell ref="K4:K5"/>
    <mergeCell ref="L4:L5"/>
    <mergeCell ref="B1:R1"/>
    <mergeCell ref="A2:R2"/>
    <mergeCell ref="B3:R3"/>
    <mergeCell ref="M4:M5"/>
    <mergeCell ref="O4:P4"/>
    <mergeCell ref="Q4:Q5"/>
    <mergeCell ref="R4:R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5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workbookViewId="0">
      <selection activeCell="F27" sqref="F27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11.5703125" style="153" customWidth="1"/>
    <col min="5" max="5" width="0.28515625" style="153" customWidth="1"/>
    <col min="6" max="6" width="11.28515625" style="153" customWidth="1"/>
    <col min="7" max="7" width="10" style="153" customWidth="1"/>
    <col min="8" max="8" width="12" style="153" customWidth="1"/>
    <col min="9" max="9" width="0.42578125" style="153" customWidth="1"/>
    <col min="10" max="10" width="12" style="153" customWidth="1"/>
    <col min="11" max="11" width="0.28515625" style="153" customWidth="1"/>
    <col min="12" max="12" width="12.5703125" style="153" customWidth="1"/>
    <col min="13" max="13" width="11.7109375" style="149" customWidth="1"/>
    <col min="14" max="14" width="0.42578125" style="153" customWidth="1"/>
    <col min="15" max="15" width="10.42578125" style="153" customWidth="1"/>
    <col min="16" max="16" width="11" style="153" customWidth="1"/>
    <col min="17" max="17" width="11.7109375" style="149" customWidth="1"/>
    <col min="18" max="18" width="0.28515625" style="153" customWidth="1"/>
    <col min="19" max="19" width="14.85546875" style="149" customWidth="1"/>
    <col min="20" max="20" width="1" style="94" customWidth="1"/>
    <col min="21" max="16384" width="11.42578125" style="94"/>
  </cols>
  <sheetData>
    <row r="1" spans="1:33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33" ht="15" customHeight="1" x14ac:dyDescent="0.2">
      <c r="A2" s="217" t="s">
        <v>172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94"/>
    </row>
    <row r="3" spans="1:33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33" s="95" customFormat="1" ht="11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33" s="95" customForma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180"/>
      <c r="O5" s="99" t="s">
        <v>37</v>
      </c>
      <c r="P5" s="181" t="s">
        <v>38</v>
      </c>
      <c r="Q5" s="226"/>
      <c r="R5" s="224"/>
      <c r="S5" s="224"/>
    </row>
    <row r="6" spans="1:33" s="5" customFormat="1" ht="17.25" customHeight="1" x14ac:dyDescent="0.2">
      <c r="A6" s="39">
        <v>2014</v>
      </c>
      <c r="B6" s="39" t="s">
        <v>7</v>
      </c>
      <c r="C6" s="14" t="s">
        <v>8</v>
      </c>
      <c r="D6" s="41">
        <f>80185+249350+498505</f>
        <v>828040</v>
      </c>
      <c r="E6" s="41"/>
      <c r="F6" s="41">
        <f>15560+37645+76840</f>
        <v>130045</v>
      </c>
      <c r="G6" s="41">
        <f>460+1380+3220</f>
        <v>5060</v>
      </c>
      <c r="H6" s="41">
        <f>2910+8735+20380</f>
        <v>32025</v>
      </c>
      <c r="I6" s="41"/>
      <c r="J6" s="41">
        <f t="shared" ref="J6:J12" si="0">SUM(F6,G6,H6)</f>
        <v>167130</v>
      </c>
      <c r="K6" s="41"/>
      <c r="L6" s="41">
        <f>360+1080+2525</f>
        <v>3965</v>
      </c>
      <c r="M6" s="22">
        <f t="shared" ref="M6:M12" si="1">SUM(D6,J6,L6)</f>
        <v>999135</v>
      </c>
      <c r="N6" s="41"/>
      <c r="O6" s="41"/>
      <c r="P6" s="41"/>
      <c r="Q6" s="22">
        <f t="shared" ref="Q6:Q18" si="2">SUM(O6:P6)</f>
        <v>0</v>
      </c>
      <c r="R6" s="41"/>
      <c r="S6" s="38">
        <f t="shared" ref="S6:S18" si="3">SUM(D6,J6,L6,Q6)</f>
        <v>999135</v>
      </c>
      <c r="U6" s="83"/>
      <c r="V6" s="83"/>
      <c r="X6" s="84"/>
      <c r="AA6" s="84"/>
      <c r="AB6" s="182"/>
      <c r="AC6" s="183"/>
      <c r="AD6" s="83"/>
      <c r="AE6" s="83"/>
      <c r="AF6" s="83"/>
      <c r="AG6" s="84"/>
    </row>
    <row r="7" spans="1:33" s="5" customFormat="1" ht="23.25" customHeight="1" x14ac:dyDescent="0.2">
      <c r="A7" s="39"/>
      <c r="B7" s="39" t="s">
        <v>17</v>
      </c>
      <c r="C7" s="14" t="s">
        <v>138</v>
      </c>
      <c r="D7" s="41">
        <v>288000</v>
      </c>
      <c r="E7" s="41"/>
      <c r="F7" s="41">
        <v>268220</v>
      </c>
      <c r="G7" s="41">
        <v>9655</v>
      </c>
      <c r="H7" s="41">
        <v>61145</v>
      </c>
      <c r="I7" s="41"/>
      <c r="J7" s="41">
        <f t="shared" si="0"/>
        <v>339020</v>
      </c>
      <c r="K7" s="41"/>
      <c r="L7" s="41">
        <v>7570</v>
      </c>
      <c r="M7" s="22">
        <f t="shared" si="1"/>
        <v>634590</v>
      </c>
      <c r="N7" s="41"/>
      <c r="O7" s="41"/>
      <c r="P7" s="41"/>
      <c r="Q7" s="22">
        <f t="shared" si="2"/>
        <v>0</v>
      </c>
      <c r="R7" s="41"/>
      <c r="S7" s="38">
        <f t="shared" si="3"/>
        <v>634590</v>
      </c>
      <c r="U7" s="83"/>
      <c r="V7" s="83"/>
      <c r="X7" s="84"/>
      <c r="AA7" s="84"/>
      <c r="AB7" s="182"/>
      <c r="AC7" s="183"/>
      <c r="AD7" s="83"/>
      <c r="AE7" s="83"/>
      <c r="AF7" s="83"/>
      <c r="AG7" s="84"/>
    </row>
    <row r="8" spans="1:33" s="5" customFormat="1" ht="26.25" customHeight="1" x14ac:dyDescent="0.2">
      <c r="A8" s="39"/>
      <c r="B8" s="39" t="s">
        <v>19</v>
      </c>
      <c r="C8" s="14" t="s">
        <v>139</v>
      </c>
      <c r="D8" s="41">
        <v>372405</v>
      </c>
      <c r="E8" s="41"/>
      <c r="F8" s="41">
        <v>414260</v>
      </c>
      <c r="G8" s="41">
        <v>8740</v>
      </c>
      <c r="H8" s="41">
        <v>55325</v>
      </c>
      <c r="I8" s="41"/>
      <c r="J8" s="41">
        <f t="shared" si="0"/>
        <v>478325</v>
      </c>
      <c r="K8" s="41"/>
      <c r="L8" s="41">
        <v>6850</v>
      </c>
      <c r="M8" s="22">
        <f t="shared" si="1"/>
        <v>857580</v>
      </c>
      <c r="N8" s="41"/>
      <c r="O8" s="41"/>
      <c r="P8" s="41"/>
      <c r="Q8" s="22">
        <f t="shared" si="2"/>
        <v>0</v>
      </c>
      <c r="R8" s="41"/>
      <c r="S8" s="38">
        <f t="shared" si="3"/>
        <v>857580</v>
      </c>
      <c r="U8" s="83"/>
      <c r="V8" s="83"/>
      <c r="X8" s="84"/>
      <c r="AA8" s="84"/>
      <c r="AB8" s="182"/>
      <c r="AC8" s="183"/>
      <c r="AD8" s="83"/>
      <c r="AE8" s="83"/>
      <c r="AF8" s="83"/>
      <c r="AG8" s="84"/>
    </row>
    <row r="9" spans="1:33" s="5" customFormat="1" ht="23.25" customHeight="1" x14ac:dyDescent="0.2">
      <c r="A9" s="39"/>
      <c r="B9" s="39" t="s">
        <v>31</v>
      </c>
      <c r="C9" s="14" t="s">
        <v>140</v>
      </c>
      <c r="D9" s="41">
        <v>319170</v>
      </c>
      <c r="E9" s="41"/>
      <c r="F9" s="41">
        <v>336495</v>
      </c>
      <c r="G9" s="41">
        <v>8735</v>
      </c>
      <c r="H9" s="41">
        <v>55325</v>
      </c>
      <c r="I9" s="41"/>
      <c r="J9" s="41">
        <f t="shared" si="0"/>
        <v>400555</v>
      </c>
      <c r="K9" s="41"/>
      <c r="L9" s="41">
        <v>6850</v>
      </c>
      <c r="M9" s="22">
        <f t="shared" si="1"/>
        <v>726575</v>
      </c>
      <c r="N9" s="41"/>
      <c r="O9" s="41"/>
      <c r="P9" s="41"/>
      <c r="Q9" s="22">
        <f t="shared" si="2"/>
        <v>0</v>
      </c>
      <c r="R9" s="41"/>
      <c r="S9" s="38">
        <f t="shared" si="3"/>
        <v>726575</v>
      </c>
      <c r="U9" s="83"/>
      <c r="V9" s="83"/>
      <c r="X9" s="84"/>
      <c r="AA9" s="84"/>
      <c r="AB9" s="182"/>
      <c r="AC9" s="183"/>
      <c r="AD9" s="83"/>
      <c r="AE9" s="83"/>
      <c r="AF9" s="83"/>
      <c r="AG9" s="84"/>
    </row>
    <row r="10" spans="1:33" s="5" customFormat="1" ht="17.25" customHeight="1" x14ac:dyDescent="0.2">
      <c r="A10" s="39"/>
      <c r="B10" s="39" t="s">
        <v>59</v>
      </c>
      <c r="C10" s="14" t="s">
        <v>141</v>
      </c>
      <c r="D10" s="41">
        <v>1114935</v>
      </c>
      <c r="E10" s="41"/>
      <c r="F10" s="41">
        <v>370800</v>
      </c>
      <c r="G10" s="41">
        <v>13795</v>
      </c>
      <c r="H10" s="41">
        <v>87350</v>
      </c>
      <c r="I10" s="41"/>
      <c r="J10" s="41">
        <f t="shared" si="0"/>
        <v>471945</v>
      </c>
      <c r="K10" s="41"/>
      <c r="L10" s="41">
        <v>10815</v>
      </c>
      <c r="M10" s="22">
        <f t="shared" si="1"/>
        <v>1597695</v>
      </c>
      <c r="N10" s="41"/>
      <c r="O10" s="41"/>
      <c r="P10" s="41"/>
      <c r="Q10" s="22">
        <f t="shared" si="2"/>
        <v>0</v>
      </c>
      <c r="R10" s="41"/>
      <c r="S10" s="38">
        <f t="shared" si="3"/>
        <v>1597695</v>
      </c>
      <c r="U10" s="83"/>
      <c r="V10" s="83"/>
      <c r="X10" s="84"/>
      <c r="AA10" s="84"/>
      <c r="AB10" s="182"/>
      <c r="AC10" s="183"/>
      <c r="AD10" s="83"/>
      <c r="AE10" s="83"/>
      <c r="AF10" s="83"/>
      <c r="AG10" s="84"/>
    </row>
    <row r="11" spans="1:33" s="5" customFormat="1" ht="18.75" customHeight="1" x14ac:dyDescent="0.2">
      <c r="A11" s="39"/>
      <c r="B11" s="40" t="s">
        <v>10</v>
      </c>
      <c r="C11" s="14" t="s">
        <v>142</v>
      </c>
      <c r="D11" s="41">
        <v>194895</v>
      </c>
      <c r="E11" s="41"/>
      <c r="F11" s="41">
        <v>98780</v>
      </c>
      <c r="G11" s="41"/>
      <c r="H11" s="41"/>
      <c r="I11" s="41"/>
      <c r="J11" s="41">
        <f t="shared" si="0"/>
        <v>98780</v>
      </c>
      <c r="K11" s="41"/>
      <c r="L11" s="41"/>
      <c r="M11" s="22">
        <f t="shared" si="1"/>
        <v>293675</v>
      </c>
      <c r="N11" s="41"/>
      <c r="O11" s="41"/>
      <c r="P11" s="41"/>
      <c r="Q11" s="22">
        <f t="shared" si="2"/>
        <v>0</v>
      </c>
      <c r="R11" s="41"/>
      <c r="S11" s="38">
        <f t="shared" si="3"/>
        <v>293675</v>
      </c>
      <c r="U11" s="83"/>
      <c r="V11" s="83"/>
      <c r="X11" s="84"/>
      <c r="AA11" s="84"/>
      <c r="AB11" s="182"/>
      <c r="AC11" s="183"/>
      <c r="AD11" s="83"/>
      <c r="AE11" s="83"/>
      <c r="AF11" s="83"/>
      <c r="AG11" s="84"/>
    </row>
    <row r="12" spans="1:33" s="5" customFormat="1" ht="20.25" customHeight="1" x14ac:dyDescent="0.2">
      <c r="A12" s="39"/>
      <c r="B12" s="40" t="s">
        <v>143</v>
      </c>
      <c r="C12" s="14" t="s">
        <v>144</v>
      </c>
      <c r="D12" s="41"/>
      <c r="E12" s="41"/>
      <c r="F12" s="41">
        <v>50</v>
      </c>
      <c r="G12" s="41"/>
      <c r="H12" s="41"/>
      <c r="I12" s="41"/>
      <c r="J12" s="41">
        <f t="shared" si="0"/>
        <v>50</v>
      </c>
      <c r="K12" s="41"/>
      <c r="L12" s="41"/>
      <c r="M12" s="22">
        <f t="shared" si="1"/>
        <v>50</v>
      </c>
      <c r="N12" s="41"/>
      <c r="O12" s="41"/>
      <c r="P12" s="41"/>
      <c r="Q12" s="22">
        <f t="shared" si="2"/>
        <v>0</v>
      </c>
      <c r="R12" s="41"/>
      <c r="S12" s="38">
        <f t="shared" si="3"/>
        <v>50</v>
      </c>
      <c r="U12" s="83"/>
      <c r="V12" s="83"/>
      <c r="X12" s="84"/>
      <c r="AA12" s="84"/>
      <c r="AB12" s="182"/>
      <c r="AC12" s="183"/>
      <c r="AD12" s="83"/>
      <c r="AE12" s="83"/>
      <c r="AF12" s="83"/>
      <c r="AG12" s="84"/>
    </row>
    <row r="13" spans="1:33" s="5" customFormat="1" ht="25.5" customHeight="1" x14ac:dyDescent="0.2">
      <c r="A13" s="39"/>
      <c r="B13" s="40" t="s">
        <v>145</v>
      </c>
      <c r="C13" s="14" t="s">
        <v>146</v>
      </c>
      <c r="D13" s="41"/>
      <c r="E13" s="41"/>
      <c r="F13" s="41"/>
      <c r="G13" s="41"/>
      <c r="H13" s="41"/>
      <c r="I13" s="41"/>
      <c r="J13" s="41"/>
      <c r="K13" s="41"/>
      <c r="L13" s="41"/>
      <c r="M13" s="22"/>
      <c r="N13" s="41"/>
      <c r="O13" s="41"/>
      <c r="P13" s="41"/>
      <c r="Q13" s="22">
        <f>SUM(P14:P16)</f>
        <v>577895</v>
      </c>
      <c r="R13" s="41"/>
      <c r="S13" s="38">
        <f t="shared" si="3"/>
        <v>577895</v>
      </c>
      <c r="U13" s="83"/>
      <c r="V13" s="83"/>
      <c r="X13" s="84"/>
      <c r="AA13" s="84"/>
      <c r="AB13" s="182"/>
      <c r="AC13" s="183"/>
      <c r="AD13" s="83"/>
      <c r="AE13" s="83"/>
      <c r="AF13" s="83"/>
      <c r="AG13" s="84"/>
    </row>
    <row r="14" spans="1:33" s="5" customFormat="1" ht="24.75" customHeight="1" x14ac:dyDescent="0.2">
      <c r="A14" s="39"/>
      <c r="B14" s="40"/>
      <c r="C14" s="14" t="s">
        <v>147</v>
      </c>
      <c r="D14" s="41"/>
      <c r="E14" s="41"/>
      <c r="F14" s="41"/>
      <c r="G14" s="41"/>
      <c r="H14" s="41"/>
      <c r="I14" s="41"/>
      <c r="J14" s="41"/>
      <c r="K14" s="41"/>
      <c r="L14" s="41"/>
      <c r="M14" s="22"/>
      <c r="N14" s="41"/>
      <c r="O14" s="41"/>
      <c r="P14" s="41">
        <v>57515</v>
      </c>
      <c r="Q14" s="22"/>
      <c r="R14" s="41"/>
      <c r="S14" s="38">
        <f t="shared" si="3"/>
        <v>0</v>
      </c>
      <c r="U14" s="83"/>
      <c r="V14" s="83"/>
      <c r="X14" s="84"/>
      <c r="AA14" s="84"/>
      <c r="AB14" s="182"/>
      <c r="AC14" s="183"/>
      <c r="AD14" s="83"/>
      <c r="AE14" s="83"/>
      <c r="AF14" s="83"/>
      <c r="AG14" s="84"/>
    </row>
    <row r="15" spans="1:33" s="5" customFormat="1" ht="24.75" customHeight="1" x14ac:dyDescent="0.2">
      <c r="A15" s="39"/>
      <c r="B15" s="40"/>
      <c r="C15" s="14" t="s">
        <v>148</v>
      </c>
      <c r="D15" s="41"/>
      <c r="E15" s="41"/>
      <c r="F15" s="41"/>
      <c r="G15" s="41"/>
      <c r="H15" s="41"/>
      <c r="I15" s="41"/>
      <c r="J15" s="41"/>
      <c r="K15" s="41"/>
      <c r="L15" s="41"/>
      <c r="M15" s="22"/>
      <c r="N15" s="41"/>
      <c r="O15" s="41"/>
      <c r="P15" s="41">
        <v>375380</v>
      </c>
      <c r="Q15" s="22"/>
      <c r="R15" s="41"/>
      <c r="S15" s="38">
        <f t="shared" si="3"/>
        <v>0</v>
      </c>
      <c r="U15" s="83"/>
      <c r="V15" s="83"/>
      <c r="X15" s="84"/>
      <c r="AA15" s="84"/>
      <c r="AB15" s="182"/>
      <c r="AC15" s="183"/>
      <c r="AD15" s="83"/>
      <c r="AE15" s="83"/>
      <c r="AF15" s="83"/>
      <c r="AG15" s="84"/>
    </row>
    <row r="16" spans="1:33" s="5" customFormat="1" ht="24.75" customHeight="1" x14ac:dyDescent="0.2">
      <c r="A16" s="39"/>
      <c r="B16" s="40"/>
      <c r="C16" s="14" t="s">
        <v>149</v>
      </c>
      <c r="D16" s="41"/>
      <c r="E16" s="41"/>
      <c r="F16" s="41"/>
      <c r="G16" s="41"/>
      <c r="H16" s="41"/>
      <c r="I16" s="41"/>
      <c r="J16" s="41"/>
      <c r="K16" s="41"/>
      <c r="L16" s="41"/>
      <c r="M16" s="22"/>
      <c r="N16" s="41"/>
      <c r="O16" s="41"/>
      <c r="P16" s="41">
        <v>145000</v>
      </c>
      <c r="Q16" s="22"/>
      <c r="R16" s="41"/>
      <c r="S16" s="38">
        <f t="shared" si="3"/>
        <v>0</v>
      </c>
      <c r="U16" s="83"/>
      <c r="V16" s="83"/>
      <c r="X16" s="84"/>
      <c r="AA16" s="84"/>
      <c r="AB16" s="182"/>
      <c r="AC16" s="183"/>
      <c r="AD16" s="83"/>
      <c r="AE16" s="83"/>
      <c r="AF16" s="83"/>
      <c r="AG16" s="84"/>
    </row>
    <row r="17" spans="1:33" s="5" customFormat="1" ht="84.75" customHeight="1" x14ac:dyDescent="0.2">
      <c r="A17" s="39"/>
      <c r="B17" s="40" t="s">
        <v>150</v>
      </c>
      <c r="C17" s="14" t="s">
        <v>168</v>
      </c>
      <c r="D17" s="41"/>
      <c r="E17" s="41"/>
      <c r="F17" s="41"/>
      <c r="G17" s="41"/>
      <c r="H17" s="41"/>
      <c r="I17" s="41"/>
      <c r="J17" s="41">
        <f>SUM(F17,G17,H17)</f>
        <v>0</v>
      </c>
      <c r="K17" s="41"/>
      <c r="L17" s="41"/>
      <c r="M17" s="22">
        <f>SUM(D17,J17,L17)</f>
        <v>0</v>
      </c>
      <c r="N17" s="41"/>
      <c r="O17" s="41"/>
      <c r="P17" s="41"/>
      <c r="Q17" s="22">
        <f t="shared" si="2"/>
        <v>0</v>
      </c>
      <c r="R17" s="41"/>
      <c r="S17" s="38">
        <f t="shared" si="3"/>
        <v>0</v>
      </c>
      <c r="U17" s="83"/>
      <c r="V17" s="83"/>
      <c r="X17" s="84"/>
      <c r="AA17" s="84"/>
      <c r="AB17" s="182"/>
      <c r="AC17" s="183"/>
      <c r="AD17" s="83"/>
      <c r="AE17" s="83"/>
      <c r="AF17" s="83"/>
      <c r="AG17" s="84"/>
    </row>
    <row r="18" spans="1:33" s="5" customFormat="1" ht="22.5" customHeight="1" x14ac:dyDescent="0.2">
      <c r="A18" s="39"/>
      <c r="B18" s="40" t="s">
        <v>151</v>
      </c>
      <c r="C18" s="14" t="s">
        <v>152</v>
      </c>
      <c r="D18" s="41"/>
      <c r="E18" s="41"/>
      <c r="F18" s="41">
        <v>50</v>
      </c>
      <c r="G18" s="41"/>
      <c r="H18" s="41"/>
      <c r="I18" s="41"/>
      <c r="J18" s="41">
        <f>SUM(F18,G18,H18)</f>
        <v>50</v>
      </c>
      <c r="K18" s="41"/>
      <c r="L18" s="41"/>
      <c r="M18" s="22">
        <f>SUM(D18,J18,L18)</f>
        <v>50</v>
      </c>
      <c r="N18" s="41"/>
      <c r="O18" s="41"/>
      <c r="P18" s="41"/>
      <c r="Q18" s="22">
        <f t="shared" si="2"/>
        <v>0</v>
      </c>
      <c r="R18" s="41"/>
      <c r="S18" s="38">
        <f t="shared" si="3"/>
        <v>50</v>
      </c>
      <c r="U18" s="83"/>
      <c r="V18" s="83"/>
      <c r="X18" s="84"/>
      <c r="AA18" s="84"/>
      <c r="AB18" s="182"/>
      <c r="AC18" s="183"/>
      <c r="AD18" s="83"/>
      <c r="AE18" s="83"/>
      <c r="AF18" s="83"/>
      <c r="AG18" s="84"/>
    </row>
    <row r="19" spans="1:33" s="8" customFormat="1" ht="23.25" customHeight="1" x14ac:dyDescent="0.2">
      <c r="A19" s="35"/>
      <c r="B19" s="36"/>
      <c r="C19" s="37" t="s">
        <v>44</v>
      </c>
      <c r="D19" s="38">
        <f>SUM(D6:D18)</f>
        <v>3117445</v>
      </c>
      <c r="E19" s="38"/>
      <c r="F19" s="38">
        <f t="shared" ref="F19:S19" si="4">SUM(F6:F18)</f>
        <v>1618700</v>
      </c>
      <c r="G19" s="38">
        <f t="shared" si="4"/>
        <v>45985</v>
      </c>
      <c r="H19" s="38">
        <f t="shared" si="4"/>
        <v>291170</v>
      </c>
      <c r="I19" s="38">
        <f t="shared" si="4"/>
        <v>0</v>
      </c>
      <c r="J19" s="38">
        <f t="shared" si="4"/>
        <v>1955855</v>
      </c>
      <c r="K19" s="38">
        <f t="shared" si="4"/>
        <v>0</v>
      </c>
      <c r="L19" s="38">
        <f t="shared" si="4"/>
        <v>36050</v>
      </c>
      <c r="M19" s="22">
        <f t="shared" si="4"/>
        <v>5109350</v>
      </c>
      <c r="N19" s="38">
        <f t="shared" si="4"/>
        <v>0</v>
      </c>
      <c r="O19" s="38">
        <f t="shared" si="4"/>
        <v>0</v>
      </c>
      <c r="P19" s="38">
        <f t="shared" si="4"/>
        <v>577895</v>
      </c>
      <c r="Q19" s="22">
        <f t="shared" si="4"/>
        <v>577895</v>
      </c>
      <c r="R19" s="38">
        <f t="shared" si="4"/>
        <v>0</v>
      </c>
      <c r="S19" s="38">
        <f t="shared" si="4"/>
        <v>5687245</v>
      </c>
      <c r="U19" s="70"/>
      <c r="V19" s="70"/>
      <c r="X19" s="6"/>
      <c r="AA19" s="6"/>
      <c r="AB19" s="182"/>
      <c r="AC19" s="184"/>
      <c r="AD19" s="70"/>
      <c r="AE19" s="70"/>
      <c r="AF19" s="70"/>
      <c r="AG19" s="6"/>
    </row>
    <row r="20" spans="1:33" s="5" customFormat="1" ht="24.75" customHeight="1" x14ac:dyDescent="0.2">
      <c r="A20" s="39"/>
      <c r="B20" s="40"/>
      <c r="C20" s="1" t="s">
        <v>169</v>
      </c>
      <c r="D20" s="41">
        <v>-138062</v>
      </c>
      <c r="E20" s="41"/>
      <c r="F20" s="41">
        <v>-95460</v>
      </c>
      <c r="G20" s="41">
        <v>-6162</v>
      </c>
      <c r="H20" s="41">
        <v>-670</v>
      </c>
      <c r="I20" s="41"/>
      <c r="J20" s="41">
        <f t="shared" ref="J20" si="5">SUM(F20,G20,H20)</f>
        <v>-102292</v>
      </c>
      <c r="K20" s="41"/>
      <c r="L20" s="41"/>
      <c r="M20" s="22">
        <f t="shared" ref="M20" si="6">SUM(D20,J20,L20)</f>
        <v>-240354</v>
      </c>
      <c r="N20" s="41"/>
      <c r="O20" s="41"/>
      <c r="P20" s="41"/>
      <c r="Q20" s="22">
        <f>SUM(O20:P20)</f>
        <v>0</v>
      </c>
      <c r="R20" s="41"/>
      <c r="S20" s="38">
        <f>SUM(D20,J20,L20,Q20)</f>
        <v>-240354</v>
      </c>
      <c r="U20" s="83"/>
      <c r="V20" s="83"/>
      <c r="X20" s="84"/>
      <c r="AA20" s="84"/>
      <c r="AB20" s="182"/>
      <c r="AC20" s="183"/>
      <c r="AD20" s="83"/>
      <c r="AE20" s="83"/>
      <c r="AF20" s="83"/>
      <c r="AG20" s="84"/>
    </row>
    <row r="21" spans="1:33" s="5" customFormat="1" ht="23.25" customHeight="1" x14ac:dyDescent="0.2">
      <c r="A21" s="39"/>
      <c r="B21" s="40"/>
      <c r="C21" s="14" t="s">
        <v>29</v>
      </c>
      <c r="D21" s="41">
        <v>378756.68</v>
      </c>
      <c r="E21" s="41"/>
      <c r="F21" s="41">
        <v>-398330.9</v>
      </c>
      <c r="G21" s="41">
        <v>0</v>
      </c>
      <c r="H21" s="41">
        <v>12955.67</v>
      </c>
      <c r="I21" s="41"/>
      <c r="J21" s="41">
        <f>SUM(F21,G21,H21)</f>
        <v>-385375.23000000004</v>
      </c>
      <c r="K21" s="41"/>
      <c r="L21" s="41">
        <v>6618.55</v>
      </c>
      <c r="M21" s="22">
        <f>SUM(D21,J21,L21)</f>
        <v>-4.638422979041934E-11</v>
      </c>
      <c r="N21" s="41"/>
      <c r="O21" s="41">
        <v>0</v>
      </c>
      <c r="P21" s="41">
        <v>0</v>
      </c>
      <c r="Q21" s="22">
        <f>SUM(O21:P21)</f>
        <v>0</v>
      </c>
      <c r="R21" s="41"/>
      <c r="S21" s="38">
        <f>SUM(D21,J21,L21,Q21)</f>
        <v>-4.638422979041934E-11</v>
      </c>
      <c r="U21" s="83"/>
      <c r="V21" s="83"/>
      <c r="X21" s="84"/>
      <c r="AA21" s="84"/>
      <c r="AB21" s="182"/>
      <c r="AC21" s="183"/>
      <c r="AD21" s="83"/>
      <c r="AE21" s="83"/>
      <c r="AF21" s="83"/>
      <c r="AG21" s="84"/>
    </row>
    <row r="22" spans="1:33" s="8" customFormat="1" ht="18" customHeight="1" x14ac:dyDescent="0.2">
      <c r="A22" s="35"/>
      <c r="B22" s="35"/>
      <c r="C22" s="21" t="s">
        <v>52</v>
      </c>
      <c r="D22" s="42">
        <f>SUM(D19:D21)</f>
        <v>3358139.68</v>
      </c>
      <c r="E22" s="42"/>
      <c r="F22" s="42">
        <f>SUM(F19:F21)</f>
        <v>1124909.1000000001</v>
      </c>
      <c r="G22" s="42">
        <f>SUM(G19:G21)</f>
        <v>39823</v>
      </c>
      <c r="H22" s="42">
        <f>SUM(H19:H21)</f>
        <v>303455.67</v>
      </c>
      <c r="I22" s="42"/>
      <c r="J22" s="42">
        <f>SUM(F22,G22,H22)</f>
        <v>1468187.77</v>
      </c>
      <c r="K22" s="42"/>
      <c r="L22" s="42">
        <f>SUM(L19:L21)</f>
        <v>42668.55</v>
      </c>
      <c r="M22" s="22">
        <f>SUM(D22,J22,L22)</f>
        <v>4868996</v>
      </c>
      <c r="N22" s="42"/>
      <c r="O22" s="42">
        <f>SUM(O19:O21)</f>
        <v>0</v>
      </c>
      <c r="P22" s="42">
        <f>SUM(P19:P21)</f>
        <v>577895</v>
      </c>
      <c r="Q22" s="22">
        <f>SUM(Q19:Q21)</f>
        <v>577895</v>
      </c>
      <c r="R22" s="42"/>
      <c r="S22" s="42">
        <f>SUM(S19:S21)</f>
        <v>5446891</v>
      </c>
      <c r="U22" s="70"/>
      <c r="V22" s="70"/>
      <c r="X22" s="6"/>
      <c r="AA22" s="6"/>
      <c r="AB22" s="182"/>
      <c r="AC22" s="184"/>
      <c r="AD22" s="70"/>
      <c r="AE22" s="70"/>
      <c r="AF22" s="70"/>
      <c r="AG22" s="6"/>
    </row>
    <row r="23" spans="1:33" s="28" customFormat="1" ht="18" customHeight="1" x14ac:dyDescent="0.2">
      <c r="A23" s="23"/>
      <c r="B23" s="24"/>
      <c r="C23" s="25" t="s">
        <v>170</v>
      </c>
      <c r="D23" s="26">
        <v>3354739.3</v>
      </c>
      <c r="E23" s="26"/>
      <c r="F23" s="26">
        <v>1124785.17</v>
      </c>
      <c r="G23" s="26">
        <v>39819.550000000003</v>
      </c>
      <c r="H23" s="26">
        <v>303454.92</v>
      </c>
      <c r="I23" s="26"/>
      <c r="J23" s="26">
        <f>SUM(F23:H23)</f>
        <v>1468059.64</v>
      </c>
      <c r="K23" s="26"/>
      <c r="L23" s="26">
        <v>42668.55</v>
      </c>
      <c r="M23" s="27">
        <f>SUM(D23,J23,L23)</f>
        <v>4865467.4899999993</v>
      </c>
      <c r="N23" s="26"/>
      <c r="O23" s="26">
        <v>0</v>
      </c>
      <c r="P23" s="26">
        <v>398825.27</v>
      </c>
      <c r="Q23" s="26">
        <f>SUM(O23:P23)</f>
        <v>398825.27</v>
      </c>
      <c r="R23" s="26"/>
      <c r="S23" s="26">
        <f>SUM(M23,Q23)</f>
        <v>5264292.76</v>
      </c>
      <c r="U23" s="185"/>
      <c r="V23" s="185"/>
      <c r="X23" s="186"/>
      <c r="AA23" s="186"/>
      <c r="AB23" s="34"/>
      <c r="AC23" s="187"/>
      <c r="AD23" s="185"/>
      <c r="AE23" s="185"/>
      <c r="AF23" s="185"/>
      <c r="AG23" s="186"/>
    </row>
    <row r="24" spans="1:33" s="34" customFormat="1" ht="18" customHeight="1" x14ac:dyDescent="0.2">
      <c r="A24" s="29"/>
      <c r="B24" s="30"/>
      <c r="C24" s="31" t="s">
        <v>50</v>
      </c>
      <c r="D24" s="32">
        <f>D22-D23</f>
        <v>3400.3800000003539</v>
      </c>
      <c r="E24" s="32"/>
      <c r="F24" s="32">
        <f>F22-F23</f>
        <v>123.93000000016764</v>
      </c>
      <c r="G24" s="32">
        <f>G22-G23</f>
        <v>3.4499999999970896</v>
      </c>
      <c r="H24" s="32">
        <f>H22-H23</f>
        <v>0.75</v>
      </c>
      <c r="I24" s="32"/>
      <c r="J24" s="32">
        <f>J22-J23</f>
        <v>128.13000000012107</v>
      </c>
      <c r="K24" s="32"/>
      <c r="L24" s="32">
        <f>L22-L23</f>
        <v>0</v>
      </c>
      <c r="M24" s="33">
        <f>M22-M23</f>
        <v>3528.5100000007078</v>
      </c>
      <c r="N24" s="32"/>
      <c r="O24" s="32">
        <f>O22-O23</f>
        <v>0</v>
      </c>
      <c r="P24" s="32">
        <f>P22-P23</f>
        <v>179069.72999999998</v>
      </c>
      <c r="Q24" s="32">
        <f>Q22-Q23</f>
        <v>179069.72999999998</v>
      </c>
      <c r="R24" s="32"/>
      <c r="S24" s="32">
        <f>S22-S23</f>
        <v>182598.24000000022</v>
      </c>
      <c r="U24" s="188"/>
      <c r="V24" s="188"/>
      <c r="X24" s="189"/>
      <c r="AA24" s="189"/>
      <c r="AC24" s="190"/>
      <c r="AD24" s="188"/>
      <c r="AE24" s="188"/>
      <c r="AF24" s="188"/>
      <c r="AG24" s="189"/>
    </row>
    <row r="25" spans="1:33" x14ac:dyDescent="0.2">
      <c r="U25" s="153"/>
    </row>
    <row r="26" spans="1:33" ht="22.5" x14ac:dyDescent="0.2">
      <c r="B26" s="170" t="s">
        <v>98</v>
      </c>
      <c r="C26" s="171" t="s">
        <v>166</v>
      </c>
      <c r="D26" s="172" t="s">
        <v>100</v>
      </c>
    </row>
    <row r="27" spans="1:33" ht="22.5" x14ac:dyDescent="0.2">
      <c r="B27" s="170">
        <v>2014</v>
      </c>
      <c r="C27" s="173" t="s">
        <v>153</v>
      </c>
      <c r="D27" s="191">
        <v>57515</v>
      </c>
    </row>
    <row r="28" spans="1:33" ht="33.75" customHeight="1" x14ac:dyDescent="0.2">
      <c r="B28" s="170"/>
      <c r="C28" s="173" t="s">
        <v>171</v>
      </c>
      <c r="D28" s="191">
        <v>375380</v>
      </c>
    </row>
    <row r="29" spans="1:33" ht="28.5" customHeight="1" thickBot="1" x14ac:dyDescent="0.25">
      <c r="B29" s="170"/>
      <c r="C29" s="173" t="s">
        <v>154</v>
      </c>
      <c r="D29" s="192">
        <v>145000</v>
      </c>
    </row>
    <row r="30" spans="1:33" ht="18" customHeight="1" x14ac:dyDescent="0.2">
      <c r="B30" s="175"/>
      <c r="C30" s="176" t="s">
        <v>30</v>
      </c>
      <c r="D30" s="177">
        <f>SUM(D27:D29)</f>
        <v>577895</v>
      </c>
    </row>
  </sheetData>
  <sheetProtection password="C96C" sheet="1" objects="1" scenarios="1" selectLockedCells="1"/>
  <mergeCells count="20">
    <mergeCell ref="B1:R1"/>
    <mergeCell ref="A2:R2"/>
    <mergeCell ref="B3:R3"/>
    <mergeCell ref="A4:A5"/>
    <mergeCell ref="B4:B5"/>
    <mergeCell ref="C4:C5"/>
    <mergeCell ref="D4:D5"/>
    <mergeCell ref="E4:E5"/>
    <mergeCell ref="F4:F5"/>
    <mergeCell ref="G4:G5"/>
    <mergeCell ref="O4:P4"/>
    <mergeCell ref="Q4:Q5"/>
    <mergeCell ref="R4:R5"/>
    <mergeCell ref="S4:S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5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opLeftCell="C18" zoomScaleNormal="100" workbookViewId="0">
      <selection activeCell="K31" sqref="K31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0.85546875" style="133" customWidth="1"/>
    <col min="5" max="5" width="11.5703125" style="153" customWidth="1"/>
    <col min="6" max="6" width="0.28515625" style="153" customWidth="1"/>
    <col min="7" max="7" width="11.28515625" style="153" customWidth="1"/>
    <col min="8" max="8" width="10" style="153" customWidth="1"/>
    <col min="9" max="9" width="12" style="153" customWidth="1"/>
    <col min="10" max="10" width="0.42578125" style="153" customWidth="1"/>
    <col min="11" max="11" width="12" style="153" customWidth="1"/>
    <col min="12" max="12" width="0.28515625" style="153" customWidth="1"/>
    <col min="13" max="13" width="12.5703125" style="153" customWidth="1"/>
    <col min="14" max="14" width="11.7109375" style="149" customWidth="1"/>
    <col min="15" max="15" width="0.42578125" style="153" customWidth="1"/>
    <col min="16" max="16" width="10.42578125" style="153" customWidth="1"/>
    <col min="17" max="17" width="11" style="153" customWidth="1"/>
    <col min="18" max="18" width="11.7109375" style="149" customWidth="1"/>
    <col min="19" max="19" width="0.28515625" style="153" customWidth="1"/>
    <col min="20" max="20" width="14.85546875" style="149" customWidth="1"/>
    <col min="21" max="21" width="0.7109375" style="94" customWidth="1"/>
    <col min="22" max="16384" width="11.42578125" style="94"/>
  </cols>
  <sheetData>
    <row r="1" spans="1:20" s="93" customFormat="1" ht="15" customHeight="1" x14ac:dyDescent="0.2">
      <c r="A1" s="92"/>
      <c r="B1" s="217" t="s">
        <v>155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15" customHeight="1" x14ac:dyDescent="0.2">
      <c r="A2" s="217" t="s">
        <v>161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s="95" customFormat="1" ht="14.25" customHeight="1" x14ac:dyDescent="0.2">
      <c r="A4" s="219" t="s">
        <v>1</v>
      </c>
      <c r="B4" s="221" t="s">
        <v>2</v>
      </c>
      <c r="C4" s="229" t="s">
        <v>3</v>
      </c>
      <c r="D4" s="194"/>
      <c r="E4" s="223" t="s">
        <v>4</v>
      </c>
      <c r="F4" s="223"/>
      <c r="G4" s="221" t="s">
        <v>5</v>
      </c>
      <c r="H4" s="221" t="s">
        <v>34</v>
      </c>
      <c r="I4" s="221" t="s">
        <v>48</v>
      </c>
      <c r="J4" s="221"/>
      <c r="K4" s="221" t="s">
        <v>41</v>
      </c>
      <c r="L4" s="221"/>
      <c r="M4" s="223" t="s">
        <v>25</v>
      </c>
      <c r="N4" s="225" t="s">
        <v>49</v>
      </c>
      <c r="O4" s="97"/>
      <c r="P4" s="227" t="s">
        <v>6</v>
      </c>
      <c r="Q4" s="228"/>
      <c r="R4" s="225" t="s">
        <v>51</v>
      </c>
      <c r="S4" s="223"/>
      <c r="T4" s="223" t="s">
        <v>30</v>
      </c>
    </row>
    <row r="5" spans="1:20" s="95" customFormat="1" ht="33.75" customHeight="1" x14ac:dyDescent="0.2">
      <c r="A5" s="220"/>
      <c r="B5" s="222"/>
      <c r="C5" s="230"/>
      <c r="D5" s="195"/>
      <c r="E5" s="224"/>
      <c r="F5" s="224"/>
      <c r="G5" s="222"/>
      <c r="H5" s="222"/>
      <c r="I5" s="222"/>
      <c r="J5" s="222"/>
      <c r="K5" s="222"/>
      <c r="L5" s="222"/>
      <c r="M5" s="224"/>
      <c r="N5" s="226"/>
      <c r="O5" s="167"/>
      <c r="P5" s="99" t="s">
        <v>37</v>
      </c>
      <c r="Q5" s="168" t="s">
        <v>38</v>
      </c>
      <c r="R5" s="226"/>
      <c r="S5" s="224"/>
      <c r="T5" s="224"/>
    </row>
    <row r="6" spans="1:20" ht="15.75" customHeight="1" x14ac:dyDescent="0.2">
      <c r="A6" s="138">
        <v>2015</v>
      </c>
      <c r="B6" s="138" t="s">
        <v>7</v>
      </c>
      <c r="C6" s="102" t="s">
        <v>8</v>
      </c>
      <c r="D6" s="102"/>
      <c r="E6" s="140">
        <v>947785</v>
      </c>
      <c r="F6" s="140"/>
      <c r="G6" s="140">
        <v>249770</v>
      </c>
      <c r="H6" s="140">
        <v>11315</v>
      </c>
      <c r="I6" s="140">
        <v>73435</v>
      </c>
      <c r="J6" s="140"/>
      <c r="K6" s="140">
        <f t="shared" ref="K6:K12" si="0">SUM(G6,H6,I6)</f>
        <v>334520</v>
      </c>
      <c r="L6" s="140"/>
      <c r="M6" s="140">
        <v>18255</v>
      </c>
      <c r="N6" s="112">
        <f t="shared" ref="N6:N12" si="1">SUM(E6,K6,M6)</f>
        <v>1300560</v>
      </c>
      <c r="O6" s="140"/>
      <c r="P6" s="140"/>
      <c r="Q6" s="140"/>
      <c r="R6" s="112">
        <f t="shared" ref="R6:R12" si="2">SUM(P6:Q6)</f>
        <v>0</v>
      </c>
      <c r="S6" s="140"/>
      <c r="T6" s="137">
        <f t="shared" ref="T6:T14" si="3">SUM(E6,K6,M6,R6)</f>
        <v>1300560</v>
      </c>
    </row>
    <row r="7" spans="1:20" ht="22.5" x14ac:dyDescent="0.2">
      <c r="A7" s="138"/>
      <c r="B7" s="138" t="s">
        <v>17</v>
      </c>
      <c r="C7" s="102" t="s">
        <v>156</v>
      </c>
      <c r="D7" s="102"/>
      <c r="E7" s="140">
        <v>282455</v>
      </c>
      <c r="F7" s="140"/>
      <c r="G7" s="140">
        <v>230910</v>
      </c>
      <c r="H7" s="140">
        <v>8805</v>
      </c>
      <c r="I7" s="140">
        <v>57115</v>
      </c>
      <c r="J7" s="140"/>
      <c r="K7" s="140">
        <f t="shared" si="0"/>
        <v>296830</v>
      </c>
      <c r="L7" s="140"/>
      <c r="M7" s="140">
        <v>2365</v>
      </c>
      <c r="N7" s="112">
        <f t="shared" si="1"/>
        <v>581650</v>
      </c>
      <c r="O7" s="140"/>
      <c r="P7" s="140"/>
      <c r="Q7" s="140"/>
      <c r="R7" s="112">
        <f t="shared" si="2"/>
        <v>0</v>
      </c>
      <c r="S7" s="140"/>
      <c r="T7" s="137">
        <f t="shared" si="3"/>
        <v>581650</v>
      </c>
    </row>
    <row r="8" spans="1:20" ht="16.5" customHeight="1" x14ac:dyDescent="0.2">
      <c r="A8" s="138"/>
      <c r="B8" s="138" t="s">
        <v>19</v>
      </c>
      <c r="C8" s="102" t="s">
        <v>61</v>
      </c>
      <c r="D8" s="102"/>
      <c r="E8" s="140">
        <v>485805</v>
      </c>
      <c r="F8" s="140"/>
      <c r="G8" s="140">
        <v>222010</v>
      </c>
      <c r="H8" s="140">
        <v>6415</v>
      </c>
      <c r="I8" s="140">
        <v>41635</v>
      </c>
      <c r="J8" s="140"/>
      <c r="K8" s="140">
        <f t="shared" si="0"/>
        <v>270060</v>
      </c>
      <c r="L8" s="140"/>
      <c r="M8" s="140">
        <v>5315</v>
      </c>
      <c r="N8" s="112">
        <f t="shared" si="1"/>
        <v>761180</v>
      </c>
      <c r="O8" s="140"/>
      <c r="P8" s="140"/>
      <c r="Q8" s="140"/>
      <c r="R8" s="112">
        <f t="shared" si="2"/>
        <v>0</v>
      </c>
      <c r="S8" s="140"/>
      <c r="T8" s="137">
        <f t="shared" si="3"/>
        <v>761180</v>
      </c>
    </row>
    <row r="9" spans="1:20" ht="22.5" x14ac:dyDescent="0.2">
      <c r="A9" s="138"/>
      <c r="B9" s="138" t="s">
        <v>31</v>
      </c>
      <c r="C9" s="102" t="s">
        <v>157</v>
      </c>
      <c r="D9" s="102"/>
      <c r="E9" s="140">
        <v>512195</v>
      </c>
      <c r="F9" s="140"/>
      <c r="G9" s="140">
        <v>155800</v>
      </c>
      <c r="H9" s="140">
        <v>6620</v>
      </c>
      <c r="I9" s="140">
        <v>42935</v>
      </c>
      <c r="J9" s="140"/>
      <c r="K9" s="140">
        <f t="shared" si="0"/>
        <v>205355</v>
      </c>
      <c r="L9" s="140"/>
      <c r="M9" s="140">
        <v>1780</v>
      </c>
      <c r="N9" s="112">
        <f t="shared" si="1"/>
        <v>719330</v>
      </c>
      <c r="O9" s="140"/>
      <c r="P9" s="140"/>
      <c r="Q9" s="140"/>
      <c r="R9" s="112">
        <f t="shared" si="2"/>
        <v>0</v>
      </c>
      <c r="S9" s="140"/>
      <c r="T9" s="137">
        <f t="shared" si="3"/>
        <v>719330</v>
      </c>
    </row>
    <row r="10" spans="1:20" ht="22.5" x14ac:dyDescent="0.2">
      <c r="A10" s="138"/>
      <c r="B10" s="138" t="s">
        <v>59</v>
      </c>
      <c r="C10" s="102" t="s">
        <v>158</v>
      </c>
      <c r="D10" s="102"/>
      <c r="E10" s="140">
        <v>1033895</v>
      </c>
      <c r="F10" s="140"/>
      <c r="G10" s="140">
        <v>315225</v>
      </c>
      <c r="H10" s="140">
        <v>13030</v>
      </c>
      <c r="I10" s="140">
        <v>73890</v>
      </c>
      <c r="J10" s="140"/>
      <c r="K10" s="140">
        <f t="shared" si="0"/>
        <v>402145</v>
      </c>
      <c r="L10" s="140"/>
      <c r="M10" s="140">
        <v>8335</v>
      </c>
      <c r="N10" s="112">
        <f t="shared" si="1"/>
        <v>1444375</v>
      </c>
      <c r="O10" s="140"/>
      <c r="P10" s="140"/>
      <c r="Q10" s="140"/>
      <c r="R10" s="112">
        <f t="shared" si="2"/>
        <v>0</v>
      </c>
      <c r="S10" s="140"/>
      <c r="T10" s="137">
        <f t="shared" si="3"/>
        <v>1444375</v>
      </c>
    </row>
    <row r="11" spans="1:20" ht="15" customHeight="1" x14ac:dyDescent="0.2">
      <c r="A11" s="138"/>
      <c r="B11" s="139" t="s">
        <v>10</v>
      </c>
      <c r="C11" s="102" t="s">
        <v>142</v>
      </c>
      <c r="D11" s="102"/>
      <c r="E11" s="140">
        <v>315890</v>
      </c>
      <c r="F11" s="140"/>
      <c r="G11" s="140">
        <v>5085</v>
      </c>
      <c r="H11" s="140"/>
      <c r="I11" s="140"/>
      <c r="J11" s="140"/>
      <c r="K11" s="140">
        <f t="shared" si="0"/>
        <v>5085</v>
      </c>
      <c r="L11" s="140"/>
      <c r="M11" s="140"/>
      <c r="N11" s="112">
        <f t="shared" si="1"/>
        <v>320975</v>
      </c>
      <c r="O11" s="140"/>
      <c r="P11" s="140"/>
      <c r="Q11" s="140"/>
      <c r="R11" s="112">
        <f t="shared" si="2"/>
        <v>0</v>
      </c>
      <c r="S11" s="140"/>
      <c r="T11" s="137">
        <f t="shared" si="3"/>
        <v>320975</v>
      </c>
    </row>
    <row r="12" spans="1:20" ht="15" customHeight="1" x14ac:dyDescent="0.2">
      <c r="A12" s="138"/>
      <c r="B12" s="139" t="s">
        <v>143</v>
      </c>
      <c r="C12" s="102" t="s">
        <v>159</v>
      </c>
      <c r="D12" s="102"/>
      <c r="E12" s="140"/>
      <c r="F12" s="140"/>
      <c r="G12" s="140">
        <v>11530</v>
      </c>
      <c r="H12" s="140"/>
      <c r="I12" s="140"/>
      <c r="J12" s="140"/>
      <c r="K12" s="140">
        <f t="shared" si="0"/>
        <v>11530</v>
      </c>
      <c r="L12" s="140"/>
      <c r="M12" s="140"/>
      <c r="N12" s="112">
        <f t="shared" si="1"/>
        <v>11530</v>
      </c>
      <c r="O12" s="140"/>
      <c r="P12" s="140"/>
      <c r="Q12" s="140"/>
      <c r="R12" s="112">
        <f t="shared" si="2"/>
        <v>0</v>
      </c>
      <c r="S12" s="140"/>
      <c r="T12" s="137">
        <f t="shared" si="3"/>
        <v>11530</v>
      </c>
    </row>
    <row r="13" spans="1:20" ht="15" customHeight="1" x14ac:dyDescent="0.2">
      <c r="A13" s="138"/>
      <c r="B13" s="139" t="s">
        <v>145</v>
      </c>
      <c r="C13" s="102" t="s">
        <v>152</v>
      </c>
      <c r="D13" s="102"/>
      <c r="E13" s="140"/>
      <c r="F13" s="140"/>
      <c r="G13" s="140">
        <v>50</v>
      </c>
      <c r="H13" s="140"/>
      <c r="I13" s="140"/>
      <c r="J13" s="140"/>
      <c r="K13" s="140">
        <f>SUM(G13,H13,I13)</f>
        <v>50</v>
      </c>
      <c r="L13" s="140"/>
      <c r="M13" s="140"/>
      <c r="N13" s="112">
        <f>SUM(E13,K13,M13)</f>
        <v>50</v>
      </c>
      <c r="O13" s="140"/>
      <c r="P13" s="140"/>
      <c r="Q13" s="140"/>
      <c r="R13" s="112">
        <f>SUM(P13:Q13)</f>
        <v>0</v>
      </c>
      <c r="S13" s="140"/>
      <c r="T13" s="137">
        <f>SUM(E13,K13,M13,R13)</f>
        <v>50</v>
      </c>
    </row>
    <row r="14" spans="1:20" ht="78.75" x14ac:dyDescent="0.2">
      <c r="A14" s="138"/>
      <c r="B14" s="139" t="s">
        <v>150</v>
      </c>
      <c r="C14" s="102" t="s">
        <v>167</v>
      </c>
      <c r="D14" s="102"/>
      <c r="E14" s="140"/>
      <c r="F14" s="140"/>
      <c r="G14" s="140"/>
      <c r="H14" s="140"/>
      <c r="I14" s="140"/>
      <c r="J14" s="140"/>
      <c r="K14" s="140">
        <f>SUM(G14,H14,I14)</f>
        <v>0</v>
      </c>
      <c r="L14" s="140"/>
      <c r="M14" s="140"/>
      <c r="N14" s="112">
        <f>SUM(E14,K14,M14)</f>
        <v>0</v>
      </c>
      <c r="O14" s="140"/>
      <c r="P14" s="140"/>
      <c r="Q14" s="140"/>
      <c r="R14" s="112">
        <f t="shared" ref="R14:R15" si="4">SUM(P14:Q14)</f>
        <v>0</v>
      </c>
      <c r="S14" s="140"/>
      <c r="T14" s="137">
        <f t="shared" si="3"/>
        <v>0</v>
      </c>
    </row>
    <row r="15" spans="1:20" ht="16.5" customHeight="1" x14ac:dyDescent="0.2">
      <c r="A15" s="138"/>
      <c r="B15" s="139" t="s">
        <v>151</v>
      </c>
      <c r="C15" s="102" t="s">
        <v>160</v>
      </c>
      <c r="D15" s="102"/>
      <c r="E15" s="140"/>
      <c r="F15" s="140"/>
      <c r="G15" s="140"/>
      <c r="H15" s="140"/>
      <c r="I15" s="140"/>
      <c r="J15" s="140"/>
      <c r="K15" s="140"/>
      <c r="L15" s="140"/>
      <c r="M15" s="140"/>
      <c r="N15" s="112"/>
      <c r="O15" s="140"/>
      <c r="P15" s="178">
        <f>SUM(P16:P18)</f>
        <v>96330</v>
      </c>
      <c r="Q15" s="178">
        <f>SUM(Q16:Q18)</f>
        <v>184450</v>
      </c>
      <c r="R15" s="112">
        <f t="shared" si="4"/>
        <v>280780</v>
      </c>
      <c r="S15" s="140"/>
      <c r="T15" s="137">
        <f>SUM(E15,K15,M15,R15)</f>
        <v>280780</v>
      </c>
    </row>
    <row r="16" spans="1:20" ht="23.25" customHeight="1" x14ac:dyDescent="0.2">
      <c r="A16" s="138"/>
      <c r="B16" s="139"/>
      <c r="C16" s="102" t="s">
        <v>173</v>
      </c>
      <c r="D16" s="102"/>
      <c r="E16" s="140"/>
      <c r="F16" s="140"/>
      <c r="G16" s="140"/>
      <c r="H16" s="140"/>
      <c r="I16" s="140"/>
      <c r="J16" s="140"/>
      <c r="K16" s="140"/>
      <c r="L16" s="140"/>
      <c r="M16" s="140"/>
      <c r="N16" s="112"/>
      <c r="O16" s="140"/>
      <c r="P16" s="179"/>
      <c r="Q16" s="179">
        <v>119900</v>
      </c>
      <c r="R16" s="112"/>
      <c r="S16" s="140"/>
      <c r="T16" s="137"/>
    </row>
    <row r="17" spans="1:34" ht="45" x14ac:dyDescent="0.2">
      <c r="A17" s="138"/>
      <c r="B17" s="139"/>
      <c r="C17" s="102" t="s">
        <v>164</v>
      </c>
      <c r="D17" s="102"/>
      <c r="E17" s="140"/>
      <c r="F17" s="140"/>
      <c r="G17" s="140"/>
      <c r="H17" s="140"/>
      <c r="I17" s="140"/>
      <c r="J17" s="140"/>
      <c r="K17" s="140"/>
      <c r="L17" s="140"/>
      <c r="M17" s="140"/>
      <c r="N17" s="112"/>
      <c r="O17" s="140"/>
      <c r="P17" s="179"/>
      <c r="Q17" s="179">
        <v>7470</v>
      </c>
      <c r="R17" s="112"/>
      <c r="S17" s="140"/>
      <c r="T17" s="137">
        <f>SUM(E17,K17,M17,R17)</f>
        <v>0</v>
      </c>
    </row>
    <row r="18" spans="1:34" ht="28.5" customHeight="1" x14ac:dyDescent="0.2">
      <c r="A18" s="138"/>
      <c r="B18" s="139"/>
      <c r="C18" s="102" t="s">
        <v>165</v>
      </c>
      <c r="D18" s="102"/>
      <c r="E18" s="140"/>
      <c r="F18" s="140"/>
      <c r="G18" s="140"/>
      <c r="H18" s="140"/>
      <c r="I18" s="140"/>
      <c r="J18" s="140"/>
      <c r="K18" s="140"/>
      <c r="L18" s="140"/>
      <c r="M18" s="140"/>
      <c r="N18" s="112"/>
      <c r="O18" s="140"/>
      <c r="P18" s="140">
        <v>96330</v>
      </c>
      <c r="Q18" s="140">
        <v>57080</v>
      </c>
      <c r="R18" s="112"/>
      <c r="S18" s="140"/>
      <c r="T18" s="137">
        <f>SUM(E18,K18,M18,R18)</f>
        <v>0</v>
      </c>
    </row>
    <row r="19" spans="1:34" s="96" customFormat="1" ht="19.5" customHeight="1" x14ac:dyDescent="0.2">
      <c r="A19" s="134"/>
      <c r="B19" s="135"/>
      <c r="C19" s="136" t="s">
        <v>44</v>
      </c>
      <c r="D19" s="136"/>
      <c r="E19" s="137">
        <f>SUM(E6:E15)</f>
        <v>3578025</v>
      </c>
      <c r="F19" s="137"/>
      <c r="G19" s="137">
        <f t="shared" ref="G19:T19" si="5">SUM(G6:G15)</f>
        <v>1190380</v>
      </c>
      <c r="H19" s="137">
        <f t="shared" si="5"/>
        <v>46185</v>
      </c>
      <c r="I19" s="137">
        <f t="shared" si="5"/>
        <v>289010</v>
      </c>
      <c r="J19" s="137">
        <f t="shared" si="5"/>
        <v>0</v>
      </c>
      <c r="K19" s="137">
        <f t="shared" si="5"/>
        <v>1525575</v>
      </c>
      <c r="L19" s="137">
        <f t="shared" si="5"/>
        <v>0</v>
      </c>
      <c r="M19" s="137">
        <f t="shared" si="5"/>
        <v>36050</v>
      </c>
      <c r="N19" s="112">
        <f t="shared" si="5"/>
        <v>5139650</v>
      </c>
      <c r="O19" s="137">
        <f t="shared" si="5"/>
        <v>0</v>
      </c>
      <c r="P19" s="137">
        <f t="shared" si="5"/>
        <v>96330</v>
      </c>
      <c r="Q19" s="137">
        <f t="shared" si="5"/>
        <v>184450</v>
      </c>
      <c r="R19" s="112">
        <f t="shared" si="5"/>
        <v>280780</v>
      </c>
      <c r="S19" s="137">
        <f t="shared" si="5"/>
        <v>0</v>
      </c>
      <c r="T19" s="137">
        <f t="shared" si="5"/>
        <v>5420430</v>
      </c>
    </row>
    <row r="20" spans="1:34" s="5" customFormat="1" ht="21.75" customHeight="1" x14ac:dyDescent="0.2">
      <c r="A20" s="39"/>
      <c r="B20" s="40"/>
      <c r="C20" s="14" t="s">
        <v>29</v>
      </c>
      <c r="D20" s="210"/>
      <c r="E20" s="41">
        <v>-62537.99</v>
      </c>
      <c r="F20" s="41"/>
      <c r="G20" s="41">
        <v>-8312.31</v>
      </c>
      <c r="H20" s="41">
        <v>8312.31</v>
      </c>
      <c r="I20" s="41">
        <v>38880.620000000003</v>
      </c>
      <c r="J20" s="41"/>
      <c r="K20" s="41">
        <f>SUM(G20,H20,I20)</f>
        <v>38880.620000000003</v>
      </c>
      <c r="L20" s="41"/>
      <c r="M20" s="41">
        <v>23657.37</v>
      </c>
      <c r="N20" s="22">
        <f>SUM(E20,K20,M20)</f>
        <v>0</v>
      </c>
      <c r="O20" s="41"/>
      <c r="P20" s="41">
        <v>-5410.51</v>
      </c>
      <c r="Q20" s="41">
        <v>5410.51</v>
      </c>
      <c r="R20" s="22">
        <f>SUM(P20:Q20)</f>
        <v>0</v>
      </c>
      <c r="S20" s="41"/>
      <c r="T20" s="38">
        <f>SUM(E20,K20,M20,R20)</f>
        <v>3.637978807091713E-12</v>
      </c>
      <c r="V20" s="83"/>
      <c r="W20" s="83"/>
      <c r="Y20" s="84"/>
      <c r="AB20" s="84"/>
      <c r="AC20" s="182"/>
      <c r="AD20" s="183"/>
      <c r="AE20" s="83"/>
      <c r="AF20" s="83"/>
      <c r="AG20" s="83"/>
      <c r="AH20" s="84"/>
    </row>
    <row r="21" spans="1:34" s="8" customFormat="1" ht="21.75" customHeight="1" x14ac:dyDescent="0.2">
      <c r="A21" s="35"/>
      <c r="B21" s="35"/>
      <c r="C21" s="21" t="s">
        <v>52</v>
      </c>
      <c r="D21" s="211"/>
      <c r="E21" s="42">
        <f>SUM(E18:E20)</f>
        <v>3515487.01</v>
      </c>
      <c r="F21" s="42"/>
      <c r="G21" s="42">
        <f>SUM(G18:G20)</f>
        <v>1182067.69</v>
      </c>
      <c r="H21" s="42">
        <f>SUM(H18:H20)</f>
        <v>54497.31</v>
      </c>
      <c r="I21" s="42">
        <f>SUM(I18:I20)</f>
        <v>327890.62</v>
      </c>
      <c r="J21" s="42"/>
      <c r="K21" s="42">
        <f>SUM(G21,H21,I21)</f>
        <v>1564455.62</v>
      </c>
      <c r="L21" s="42"/>
      <c r="M21" s="42">
        <f>SUM(M18:M20)</f>
        <v>59707.369999999995</v>
      </c>
      <c r="N21" s="22">
        <f>SUM(E21,K21,M21)</f>
        <v>5139650</v>
      </c>
      <c r="O21" s="42"/>
      <c r="P21" s="42">
        <f>SUM(P18:P20)</f>
        <v>187249.49</v>
      </c>
      <c r="Q21" s="42">
        <f>SUM(Q18:Q20)</f>
        <v>246940.51</v>
      </c>
      <c r="R21" s="22">
        <f>SUM(R18:R20)</f>
        <v>280780</v>
      </c>
      <c r="S21" s="42"/>
      <c r="T21" s="42">
        <f>SUM(T18:T20)</f>
        <v>5420430</v>
      </c>
      <c r="V21" s="70"/>
      <c r="W21" s="70"/>
      <c r="Y21" s="6"/>
      <c r="AB21" s="6"/>
      <c r="AC21" s="182"/>
      <c r="AD21" s="184"/>
      <c r="AE21" s="70"/>
      <c r="AF21" s="70"/>
      <c r="AG21" s="70"/>
      <c r="AH21" s="6"/>
    </row>
    <row r="22" spans="1:34" s="28" customFormat="1" ht="21.75" customHeight="1" x14ac:dyDescent="0.2">
      <c r="A22" s="23"/>
      <c r="B22" s="24"/>
      <c r="C22" s="25" t="s">
        <v>179</v>
      </c>
      <c r="D22" s="197"/>
      <c r="E22" s="26">
        <v>3370111.07</v>
      </c>
      <c r="F22" s="26"/>
      <c r="G22" s="26">
        <v>1067916.96</v>
      </c>
      <c r="H22" s="26">
        <v>52816.05</v>
      </c>
      <c r="I22" s="26">
        <v>326180.59999999998</v>
      </c>
      <c r="J22" s="26"/>
      <c r="K22" s="26">
        <f>SUM(G22:I22)</f>
        <v>1446913.6099999999</v>
      </c>
      <c r="L22" s="26"/>
      <c r="M22" s="26">
        <v>59688.06</v>
      </c>
      <c r="N22" s="27">
        <f>SUM(E22,K22,M22)</f>
        <v>4876712.7399999993</v>
      </c>
      <c r="O22" s="26"/>
      <c r="P22" s="26">
        <v>90918.49</v>
      </c>
      <c r="Q22" s="26">
        <f>132113.88-12225.05+7218.29+62758.08-279-0.99</f>
        <v>189585.21000000002</v>
      </c>
      <c r="R22" s="26">
        <f>SUM(P22:Q22)</f>
        <v>280503.7</v>
      </c>
      <c r="S22" s="26"/>
      <c r="T22" s="26">
        <f>SUM(N22,R22)</f>
        <v>5157216.4399999995</v>
      </c>
      <c r="V22" s="185"/>
      <c r="W22" s="185"/>
      <c r="Y22" s="186"/>
      <c r="AB22" s="186"/>
      <c r="AC22" s="34"/>
      <c r="AD22" s="187"/>
      <c r="AE22" s="185"/>
      <c r="AF22" s="185"/>
      <c r="AG22" s="185"/>
      <c r="AH22" s="186"/>
    </row>
    <row r="23" spans="1:34" s="28" customFormat="1" ht="21.75" customHeight="1" x14ac:dyDescent="0.2">
      <c r="A23" s="23"/>
      <c r="B23" s="24"/>
      <c r="C23" s="25" t="s">
        <v>174</v>
      </c>
      <c r="D23" s="197"/>
      <c r="E23" s="26"/>
      <c r="F23" s="26"/>
      <c r="G23" s="26">
        <v>59519</v>
      </c>
      <c r="H23" s="26"/>
      <c r="I23" s="26"/>
      <c r="J23" s="26"/>
      <c r="K23" s="26">
        <f>SUM(G23:I23)</f>
        <v>59519</v>
      </c>
      <c r="L23" s="26"/>
      <c r="M23" s="26"/>
      <c r="N23" s="27">
        <f>SUM(E23,K23,M23)</f>
        <v>59519</v>
      </c>
      <c r="O23" s="26"/>
      <c r="P23" s="26"/>
      <c r="Q23" s="26"/>
      <c r="R23" s="26">
        <f>SUM(P23:Q23)</f>
        <v>0</v>
      </c>
      <c r="S23" s="26"/>
      <c r="T23" s="26">
        <f>SUM(N23,R23)</f>
        <v>59519</v>
      </c>
      <c r="V23" s="185"/>
      <c r="W23" s="185"/>
      <c r="Y23" s="186"/>
      <c r="AB23" s="186"/>
      <c r="AC23" s="34"/>
      <c r="AD23" s="187"/>
      <c r="AE23" s="185"/>
      <c r="AF23" s="185"/>
      <c r="AG23" s="185"/>
      <c r="AH23" s="186"/>
    </row>
    <row r="24" spans="1:34" s="34" customFormat="1" ht="21.75" customHeight="1" x14ac:dyDescent="0.2">
      <c r="A24" s="29"/>
      <c r="B24" s="30"/>
      <c r="C24" s="31" t="s">
        <v>50</v>
      </c>
      <c r="D24" s="198"/>
      <c r="E24" s="32">
        <f>E21-E22-E23</f>
        <v>145375.93999999994</v>
      </c>
      <c r="F24" s="32"/>
      <c r="G24" s="32">
        <f>G21-G22-G23</f>
        <v>54631.729999999981</v>
      </c>
      <c r="H24" s="32">
        <f t="shared" ref="H24:T24" si="6">H21-H22-H23</f>
        <v>1681.2599999999948</v>
      </c>
      <c r="I24" s="32">
        <f t="shared" si="6"/>
        <v>1710.0200000000186</v>
      </c>
      <c r="J24" s="32">
        <f t="shared" si="6"/>
        <v>0</v>
      </c>
      <c r="K24" s="32">
        <f t="shared" si="6"/>
        <v>58023.010000000242</v>
      </c>
      <c r="L24" s="32">
        <f t="shared" si="6"/>
        <v>0</v>
      </c>
      <c r="M24" s="32">
        <f t="shared" si="6"/>
        <v>19.309999999997672</v>
      </c>
      <c r="N24" s="33">
        <f t="shared" si="6"/>
        <v>203418.26000000071</v>
      </c>
      <c r="O24" s="32">
        <f t="shared" si="6"/>
        <v>0</v>
      </c>
      <c r="P24" s="32">
        <f t="shared" si="6"/>
        <v>96330.999999999985</v>
      </c>
      <c r="Q24" s="32">
        <f t="shared" si="6"/>
        <v>57355.299999999988</v>
      </c>
      <c r="R24" s="32">
        <f t="shared" si="6"/>
        <v>276.29999999998836</v>
      </c>
      <c r="S24" s="32">
        <f t="shared" si="6"/>
        <v>0</v>
      </c>
      <c r="T24" s="32">
        <f t="shared" si="6"/>
        <v>203694.56000000052</v>
      </c>
      <c r="V24" s="188"/>
      <c r="W24" s="188"/>
      <c r="Y24" s="189"/>
      <c r="AB24" s="189"/>
      <c r="AD24" s="190"/>
      <c r="AE24" s="188"/>
      <c r="AF24" s="188"/>
      <c r="AG24" s="188"/>
      <c r="AH24" s="189"/>
    </row>
    <row r="25" spans="1:34" s="8" customFormat="1" ht="9" customHeight="1" x14ac:dyDescent="0.2">
      <c r="A25" s="196"/>
      <c r="B25" s="196"/>
      <c r="C25" s="250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V25" s="188"/>
      <c r="W25" s="199"/>
      <c r="Y25" s="6"/>
      <c r="AB25" s="6"/>
      <c r="AC25" s="182"/>
      <c r="AD25" s="184"/>
      <c r="AE25" s="70"/>
      <c r="AF25" s="70"/>
      <c r="AG25" s="70"/>
      <c r="AH25" s="6"/>
    </row>
    <row r="26" spans="1:34" s="200" customFormat="1" ht="26.25" customHeight="1" x14ac:dyDescent="0.2">
      <c r="A26" s="196"/>
      <c r="B26" s="196" t="s">
        <v>45</v>
      </c>
      <c r="C26" s="252" t="s">
        <v>176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V26" s="201"/>
      <c r="W26" s="56"/>
      <c r="Y26" s="196"/>
      <c r="AB26" s="196"/>
      <c r="AC26" s="202"/>
      <c r="AD26" s="203"/>
      <c r="AE26" s="56"/>
      <c r="AF26" s="56"/>
      <c r="AG26" s="56"/>
      <c r="AH26" s="196"/>
    </row>
    <row r="27" spans="1:34" s="200" customFormat="1" ht="22.5" customHeight="1" x14ac:dyDescent="0.2">
      <c r="A27" s="196"/>
      <c r="B27" s="196" t="s">
        <v>45</v>
      </c>
      <c r="C27" s="252" t="s">
        <v>177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V27" s="201"/>
      <c r="W27" s="56"/>
      <c r="Y27" s="196"/>
      <c r="AB27" s="196"/>
      <c r="AC27" s="202"/>
      <c r="AD27" s="203"/>
      <c r="AE27" s="56"/>
      <c r="AF27" s="56"/>
      <c r="AG27" s="56"/>
      <c r="AH27" s="196"/>
    </row>
    <row r="28" spans="1:34" s="96" customFormat="1" x14ac:dyDescent="0.2">
      <c r="A28" s="166"/>
      <c r="B28" s="166"/>
      <c r="C28" s="166"/>
      <c r="D28" s="193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34" s="96" customFormat="1" ht="22.5" x14ac:dyDescent="0.2">
      <c r="A29" s="166"/>
      <c r="B29" s="170" t="s">
        <v>98</v>
      </c>
      <c r="C29" s="171" t="s">
        <v>166</v>
      </c>
      <c r="D29" s="171"/>
      <c r="E29" s="172" t="s">
        <v>100</v>
      </c>
      <c r="F29" s="169"/>
      <c r="G29" s="169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34" s="96" customFormat="1" ht="38.25" customHeight="1" x14ac:dyDescent="0.2">
      <c r="A30" s="166"/>
      <c r="B30" s="170">
        <v>2015</v>
      </c>
      <c r="C30" s="173" t="s">
        <v>178</v>
      </c>
      <c r="D30" s="173"/>
      <c r="E30" s="174">
        <v>119900</v>
      </c>
      <c r="F30" s="169"/>
      <c r="G30" s="169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34" s="96" customFormat="1" ht="51.75" customHeight="1" x14ac:dyDescent="0.2">
      <c r="A31" s="193"/>
      <c r="B31" s="170"/>
      <c r="C31" s="173" t="s">
        <v>162</v>
      </c>
      <c r="D31" s="173"/>
      <c r="E31" s="174">
        <v>7470</v>
      </c>
      <c r="F31" s="169"/>
      <c r="G31" s="169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34" s="96" customFormat="1" ht="33.75" x14ac:dyDescent="0.2">
      <c r="A32" s="166"/>
      <c r="B32" s="170"/>
      <c r="C32" s="173" t="s">
        <v>163</v>
      </c>
      <c r="D32" s="173"/>
      <c r="E32" s="174">
        <v>153410</v>
      </c>
      <c r="F32" s="169"/>
      <c r="G32" s="169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2:11" ht="21" customHeight="1" x14ac:dyDescent="0.2">
      <c r="B33" s="175"/>
      <c r="C33" s="176" t="s">
        <v>30</v>
      </c>
      <c r="D33" s="176"/>
      <c r="E33" s="177">
        <f>SUM(E30:E32)</f>
        <v>280780</v>
      </c>
      <c r="F33" s="169"/>
      <c r="G33" s="169"/>
      <c r="K33" s="128"/>
    </row>
    <row r="34" spans="2:11" ht="12.75" x14ac:dyDescent="0.2">
      <c r="B34" s="130"/>
      <c r="E34" s="131"/>
      <c r="F34" s="169"/>
      <c r="G34" s="169"/>
      <c r="K34" s="128"/>
    </row>
    <row r="35" spans="2:11" x14ac:dyDescent="0.2">
      <c r="K35" s="128"/>
    </row>
    <row r="36" spans="2:11" x14ac:dyDescent="0.2">
      <c r="K36" s="128"/>
    </row>
    <row r="37" spans="2:11" x14ac:dyDescent="0.2">
      <c r="K37" s="128"/>
    </row>
    <row r="38" spans="2:11" x14ac:dyDescent="0.2">
      <c r="K38" s="128"/>
    </row>
    <row r="39" spans="2:11" x14ac:dyDescent="0.2">
      <c r="K39" s="128"/>
    </row>
    <row r="40" spans="2:11" x14ac:dyDescent="0.2">
      <c r="K40" s="128"/>
    </row>
    <row r="41" spans="2:11" x14ac:dyDescent="0.2">
      <c r="K41" s="128"/>
    </row>
    <row r="42" spans="2:11" x14ac:dyDescent="0.2">
      <c r="K42" s="128"/>
    </row>
    <row r="43" spans="2:11" x14ac:dyDescent="0.2">
      <c r="K43" s="128"/>
    </row>
    <row r="44" spans="2:11" x14ac:dyDescent="0.2">
      <c r="K44" s="128"/>
    </row>
    <row r="45" spans="2:11" x14ac:dyDescent="0.2">
      <c r="K45" s="128"/>
    </row>
  </sheetData>
  <sheetProtection password="C96C" sheet="1" objects="1" scenarios="1" selectLockedCells="1"/>
  <mergeCells count="23">
    <mergeCell ref="C25:T25"/>
    <mergeCell ref="C26:T26"/>
    <mergeCell ref="C27:T27"/>
    <mergeCell ref="B1:T1"/>
    <mergeCell ref="A2:T2"/>
    <mergeCell ref="B3:T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S4:S5"/>
    <mergeCell ref="T4:T5"/>
    <mergeCell ref="K4:K5"/>
    <mergeCell ref="L4:L5"/>
    <mergeCell ref="N4:N5"/>
    <mergeCell ref="P4:Q4"/>
    <mergeCell ref="R4:R5"/>
    <mergeCell ref="M4:M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0" zoomScaleNormal="75" zoomScaleSheetLayoutView="75" workbookViewId="0">
      <selection activeCell="A8" sqref="A1:XFD1048576"/>
    </sheetView>
  </sheetViews>
  <sheetFormatPr baseColWidth="10" defaultRowHeight="11.25" x14ac:dyDescent="0.2"/>
  <cols>
    <col min="1" max="1" width="4.85546875" style="130" customWidth="1"/>
    <col min="2" max="2" width="6" style="130" customWidth="1"/>
    <col min="3" max="3" width="50.5703125" style="133" customWidth="1"/>
    <col min="4" max="4" width="11.5703125" style="131" customWidth="1"/>
    <col min="5" max="5" width="0.28515625" style="131" customWidth="1"/>
    <col min="6" max="6" width="11.28515625" style="131" customWidth="1"/>
    <col min="7" max="7" width="10" style="131" customWidth="1"/>
    <col min="8" max="8" width="12" style="131" customWidth="1"/>
    <col min="9" max="9" width="0.42578125" style="131" customWidth="1"/>
    <col min="10" max="10" width="12" style="131" customWidth="1"/>
    <col min="11" max="11" width="0.28515625" style="131" customWidth="1"/>
    <col min="12" max="12" width="12.5703125" style="131" customWidth="1"/>
    <col min="13" max="13" width="11.7109375" style="132" customWidth="1"/>
    <col min="14" max="14" width="0.42578125" style="131" customWidth="1"/>
    <col min="15" max="15" width="10.42578125" style="131" customWidth="1"/>
    <col min="16" max="16" width="11" style="131" customWidth="1"/>
    <col min="17" max="17" width="11.7109375" style="132" customWidth="1"/>
    <col min="18" max="18" width="0.28515625" style="131" customWidth="1"/>
    <col min="19" max="19" width="14.85546875" style="132" customWidth="1"/>
    <col min="20" max="16384" width="11.42578125" style="106"/>
  </cols>
  <sheetData>
    <row r="1" spans="1:19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94" customFormat="1" ht="15" customHeight="1" x14ac:dyDescent="0.2">
      <c r="A2" s="217" t="s">
        <v>77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s="95" customFormat="1" ht="14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19" s="95" customFormat="1" ht="33.75" customHeigh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98"/>
      <c r="O5" s="99" t="s">
        <v>37</v>
      </c>
      <c r="P5" s="100" t="s">
        <v>38</v>
      </c>
      <c r="Q5" s="226"/>
      <c r="R5" s="224"/>
      <c r="S5" s="224"/>
    </row>
    <row r="6" spans="1:19" ht="18" customHeight="1" x14ac:dyDescent="0.2">
      <c r="A6" s="101">
        <v>1998</v>
      </c>
      <c r="B6" s="101" t="s">
        <v>7</v>
      </c>
      <c r="C6" s="102" t="s">
        <v>8</v>
      </c>
      <c r="D6" s="103">
        <v>312197.71000000002</v>
      </c>
      <c r="E6" s="103"/>
      <c r="F6" s="103">
        <v>68387.429999999993</v>
      </c>
      <c r="G6" s="103"/>
      <c r="H6" s="103"/>
      <c r="I6" s="103"/>
      <c r="J6" s="103">
        <f t="shared" ref="J6:J11" si="0">SUM(F6:G6)</f>
        <v>68387.429999999993</v>
      </c>
      <c r="K6" s="103"/>
      <c r="L6" s="103"/>
      <c r="M6" s="104">
        <f t="shared" ref="M6:M12" si="1">SUM(D6,J6,L6)</f>
        <v>380585.14</v>
      </c>
      <c r="N6" s="103"/>
      <c r="O6" s="103"/>
      <c r="P6" s="103"/>
      <c r="Q6" s="104">
        <f>SUM(O6:P6)</f>
        <v>0</v>
      </c>
      <c r="R6" s="103"/>
      <c r="S6" s="105">
        <f>SUM(D6,J6,L6,Q6)</f>
        <v>380585.14</v>
      </c>
    </row>
    <row r="7" spans="1:19" ht="18" customHeight="1" x14ac:dyDescent="0.2">
      <c r="A7" s="101"/>
      <c r="B7" s="107" t="s">
        <v>17</v>
      </c>
      <c r="C7" s="102" t="s">
        <v>35</v>
      </c>
      <c r="D7" s="103">
        <v>345654.86</v>
      </c>
      <c r="E7" s="103"/>
      <c r="F7" s="103">
        <v>186317.71</v>
      </c>
      <c r="G7" s="103"/>
      <c r="H7" s="103"/>
      <c r="I7" s="103"/>
      <c r="J7" s="103">
        <f t="shared" si="0"/>
        <v>186317.71</v>
      </c>
      <c r="K7" s="103"/>
      <c r="L7" s="103"/>
      <c r="M7" s="104">
        <f t="shared" si="1"/>
        <v>531972.56999999995</v>
      </c>
      <c r="N7" s="103"/>
      <c r="O7" s="103"/>
      <c r="P7" s="103"/>
      <c r="Q7" s="104">
        <f>SUM(O7:P7)</f>
        <v>0</v>
      </c>
      <c r="R7" s="103"/>
      <c r="S7" s="105">
        <f>SUM(D7,J7,L7,Q7)</f>
        <v>531972.56999999995</v>
      </c>
    </row>
    <row r="8" spans="1:19" ht="18" customHeight="1" x14ac:dyDescent="0.2">
      <c r="A8" s="101"/>
      <c r="B8" s="107" t="s">
        <v>10</v>
      </c>
      <c r="C8" s="102" t="s">
        <v>46</v>
      </c>
      <c r="D8" s="103"/>
      <c r="E8" s="103"/>
      <c r="F8" s="103"/>
      <c r="G8" s="103"/>
      <c r="H8" s="103"/>
      <c r="I8" s="103"/>
      <c r="J8" s="103">
        <f t="shared" si="0"/>
        <v>0</v>
      </c>
      <c r="K8" s="103"/>
      <c r="L8" s="103"/>
      <c r="M8" s="104">
        <f t="shared" si="1"/>
        <v>0</v>
      </c>
      <c r="N8" s="103"/>
      <c r="O8" s="103"/>
      <c r="P8" s="103">
        <v>571428.56999999995</v>
      </c>
      <c r="Q8" s="104">
        <f>SUM(O8:P8)</f>
        <v>571428.56999999995</v>
      </c>
      <c r="R8" s="103"/>
      <c r="S8" s="105">
        <f>SUM(D8,J8,L8,Q8)</f>
        <v>571428.56999999995</v>
      </c>
    </row>
    <row r="9" spans="1:19" s="96" customFormat="1" ht="18" customHeight="1" x14ac:dyDescent="0.2">
      <c r="A9" s="134"/>
      <c r="B9" s="135"/>
      <c r="C9" s="136" t="s">
        <v>44</v>
      </c>
      <c r="D9" s="137">
        <f>SUM(D6:D8)</f>
        <v>657852.57000000007</v>
      </c>
      <c r="E9" s="137"/>
      <c r="F9" s="137">
        <f>SUM(F6:F8)</f>
        <v>254705.13999999998</v>
      </c>
      <c r="G9" s="137">
        <f t="shared" ref="G9:S9" si="2">SUM(G6:G8)</f>
        <v>0</v>
      </c>
      <c r="H9" s="137"/>
      <c r="I9" s="137"/>
      <c r="J9" s="137">
        <f t="shared" si="2"/>
        <v>254705.13999999998</v>
      </c>
      <c r="K9" s="137"/>
      <c r="L9" s="137">
        <f t="shared" si="2"/>
        <v>0</v>
      </c>
      <c r="M9" s="112">
        <f t="shared" si="1"/>
        <v>912557.71000000008</v>
      </c>
      <c r="N9" s="137"/>
      <c r="O9" s="137">
        <f t="shared" si="2"/>
        <v>0</v>
      </c>
      <c r="P9" s="137">
        <f t="shared" si="2"/>
        <v>571428.56999999995</v>
      </c>
      <c r="Q9" s="112">
        <f t="shared" si="2"/>
        <v>571428.56999999995</v>
      </c>
      <c r="R9" s="137"/>
      <c r="S9" s="137">
        <f t="shared" si="2"/>
        <v>1483986.2799999998</v>
      </c>
    </row>
    <row r="10" spans="1:19" s="94" customFormat="1" ht="34.5" customHeight="1" x14ac:dyDescent="0.2">
      <c r="A10" s="138"/>
      <c r="B10" s="139"/>
      <c r="C10" s="102" t="s">
        <v>36</v>
      </c>
      <c r="D10" s="140"/>
      <c r="E10" s="140"/>
      <c r="F10" s="140"/>
      <c r="G10" s="140"/>
      <c r="H10" s="140"/>
      <c r="I10" s="140"/>
      <c r="J10" s="140">
        <f t="shared" si="0"/>
        <v>0</v>
      </c>
      <c r="K10" s="140"/>
      <c r="L10" s="140"/>
      <c r="M10" s="104">
        <f t="shared" si="1"/>
        <v>0</v>
      </c>
      <c r="N10" s="140"/>
      <c r="O10" s="140">
        <v>150000</v>
      </c>
      <c r="P10" s="140"/>
      <c r="Q10" s="112">
        <f>SUM(O10:P10)</f>
        <v>150000</v>
      </c>
      <c r="R10" s="140"/>
      <c r="S10" s="137">
        <f>SUM(D10,J10,L10,Q10)</f>
        <v>150000</v>
      </c>
    </row>
    <row r="11" spans="1:19" s="96" customFormat="1" ht="45.75" customHeight="1" x14ac:dyDescent="0.2">
      <c r="A11" s="134"/>
      <c r="B11" s="135"/>
      <c r="C11" s="102" t="s">
        <v>11</v>
      </c>
      <c r="D11" s="140">
        <v>49142.86</v>
      </c>
      <c r="E11" s="140"/>
      <c r="F11" s="140">
        <v>80342.289999999994</v>
      </c>
      <c r="G11" s="140"/>
      <c r="H11" s="140"/>
      <c r="I11" s="140"/>
      <c r="J11" s="140">
        <f t="shared" si="0"/>
        <v>80342.289999999994</v>
      </c>
      <c r="K11" s="140"/>
      <c r="L11" s="140">
        <v>36229.14</v>
      </c>
      <c r="M11" s="104">
        <f t="shared" si="1"/>
        <v>165714.28999999998</v>
      </c>
      <c r="N11" s="140"/>
      <c r="O11" s="140">
        <v>-165714.29</v>
      </c>
      <c r="P11" s="140"/>
      <c r="Q11" s="112">
        <f>SUM(O11:P11)</f>
        <v>-165714.29</v>
      </c>
      <c r="R11" s="140"/>
      <c r="S11" s="137">
        <f>SUM(D11,J11,L11,Q11)</f>
        <v>0</v>
      </c>
    </row>
    <row r="12" spans="1:19" s="96" customFormat="1" ht="21" customHeight="1" x14ac:dyDescent="0.2">
      <c r="A12" s="134"/>
      <c r="B12" s="135"/>
      <c r="C12" s="110" t="s">
        <v>52</v>
      </c>
      <c r="D12" s="141">
        <f>SUM(D9:D11)</f>
        <v>706995.43</v>
      </c>
      <c r="E12" s="141"/>
      <c r="F12" s="141">
        <f t="shared" ref="F12:S12" si="3">SUM(F9:F11)</f>
        <v>335047.43</v>
      </c>
      <c r="G12" s="141">
        <f t="shared" si="3"/>
        <v>0</v>
      </c>
      <c r="H12" s="141"/>
      <c r="I12" s="141"/>
      <c r="J12" s="141">
        <f t="shared" si="3"/>
        <v>335047.43</v>
      </c>
      <c r="K12" s="141"/>
      <c r="L12" s="141">
        <f t="shared" si="3"/>
        <v>36229.14</v>
      </c>
      <c r="M12" s="112">
        <f t="shared" si="1"/>
        <v>1078272</v>
      </c>
      <c r="N12" s="141"/>
      <c r="O12" s="141">
        <f t="shared" si="3"/>
        <v>-15714.290000000008</v>
      </c>
      <c r="P12" s="141">
        <f t="shared" si="3"/>
        <v>571428.56999999995</v>
      </c>
      <c r="Q12" s="112">
        <f t="shared" si="3"/>
        <v>555714.27999999991</v>
      </c>
      <c r="R12" s="141"/>
      <c r="S12" s="141">
        <f t="shared" si="3"/>
        <v>1633986.2799999998</v>
      </c>
    </row>
    <row r="13" spans="1:19" s="119" customFormat="1" ht="30" customHeight="1" x14ac:dyDescent="0.2">
      <c r="A13" s="115"/>
      <c r="B13" s="116"/>
      <c r="C13" s="117" t="s">
        <v>53</v>
      </c>
      <c r="D13" s="118">
        <v>613351.44999999995</v>
      </c>
      <c r="E13" s="118"/>
      <c r="F13" s="118">
        <f>96142.51+222556.17+16348.75-15715.29</f>
        <v>319332.14</v>
      </c>
      <c r="G13" s="118"/>
      <c r="H13" s="118"/>
      <c r="I13" s="118"/>
      <c r="J13" s="118">
        <f>SUM(F13:H13)</f>
        <v>319332.14</v>
      </c>
      <c r="K13" s="118"/>
      <c r="L13" s="118">
        <f>4196.59+32032.55</f>
        <v>36229.14</v>
      </c>
      <c r="M13" s="142">
        <f>SUM(L13,J13,D13)</f>
        <v>968912.73</v>
      </c>
      <c r="N13" s="118"/>
      <c r="O13" s="118">
        <v>0</v>
      </c>
      <c r="P13" s="118">
        <f>340209.01+78030.55+91605.29</f>
        <v>509844.85</v>
      </c>
      <c r="Q13" s="118">
        <f>SUM(O13:P13)</f>
        <v>509844.85</v>
      </c>
      <c r="R13" s="118"/>
      <c r="S13" s="118">
        <f>SUM(M13,Q13)</f>
        <v>1478757.58</v>
      </c>
    </row>
    <row r="14" spans="1:19" s="125" customFormat="1" ht="18" customHeight="1" x14ac:dyDescent="0.2">
      <c r="A14" s="120"/>
      <c r="B14" s="121"/>
      <c r="C14" s="122" t="s">
        <v>50</v>
      </c>
      <c r="D14" s="123">
        <f>D12-D13</f>
        <v>93643.980000000098</v>
      </c>
      <c r="E14" s="123"/>
      <c r="F14" s="123">
        <f>F12-F13</f>
        <v>15715.289999999979</v>
      </c>
      <c r="G14" s="123">
        <f>G12-G13</f>
        <v>0</v>
      </c>
      <c r="H14" s="123">
        <f>H12-H13</f>
        <v>0</v>
      </c>
      <c r="I14" s="123"/>
      <c r="J14" s="123">
        <f>J12-J13</f>
        <v>15715.289999999979</v>
      </c>
      <c r="K14" s="123"/>
      <c r="L14" s="123">
        <f>L12-L13</f>
        <v>0</v>
      </c>
      <c r="M14" s="124">
        <f>M12-M13</f>
        <v>109359.27000000002</v>
      </c>
      <c r="N14" s="123"/>
      <c r="O14" s="123">
        <f>O12-O13</f>
        <v>-15714.290000000008</v>
      </c>
      <c r="P14" s="123">
        <f>P12-P13</f>
        <v>61583.719999999972</v>
      </c>
      <c r="Q14" s="123">
        <f>Q12-Q13</f>
        <v>45869.429999999935</v>
      </c>
      <c r="R14" s="123"/>
      <c r="S14" s="123">
        <f>S12-S13</f>
        <v>155228.69999999972</v>
      </c>
    </row>
    <row r="15" spans="1:19" s="148" customFormat="1" ht="18" customHeight="1" x14ac:dyDescent="0.2">
      <c r="A15" s="143"/>
      <c r="B15" s="144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7"/>
      <c r="N15" s="146"/>
      <c r="O15" s="146"/>
      <c r="P15" s="146"/>
      <c r="Q15" s="146"/>
      <c r="R15" s="146"/>
      <c r="S15" s="146"/>
    </row>
    <row r="16" spans="1:19" s="96" customFormat="1" ht="12.75" customHeight="1" x14ac:dyDescent="0.2">
      <c r="A16" s="126"/>
      <c r="B16" s="126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s="96" customFormat="1" ht="12.75" customHeight="1" x14ac:dyDescent="0.2">
      <c r="A17" s="126"/>
      <c r="B17" s="129" t="s">
        <v>94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ht="12.75" customHeight="1" x14ac:dyDescent="0.2">
      <c r="B18" s="129" t="s">
        <v>96</v>
      </c>
    </row>
    <row r="19" spans="1:19" ht="12.75" customHeight="1" x14ac:dyDescent="0.2"/>
    <row r="20" spans="1:19" ht="22.5" x14ac:dyDescent="0.2">
      <c r="B20" s="90" t="s">
        <v>98</v>
      </c>
      <c r="C20" s="61" t="s">
        <v>121</v>
      </c>
      <c r="D20" s="62" t="s">
        <v>100</v>
      </c>
    </row>
    <row r="21" spans="1:19" x14ac:dyDescent="0.2">
      <c r="B21" s="232">
        <v>1998</v>
      </c>
      <c r="C21" s="63" t="s">
        <v>102</v>
      </c>
      <c r="D21" s="66">
        <v>234198.74285714285</v>
      </c>
    </row>
    <row r="22" spans="1:19" x14ac:dyDescent="0.2">
      <c r="B22" s="232"/>
      <c r="C22" s="63" t="s">
        <v>103</v>
      </c>
      <c r="D22" s="65">
        <v>127269.82</v>
      </c>
    </row>
    <row r="23" spans="1:19" ht="23.25" thickBot="1" x14ac:dyDescent="0.25">
      <c r="B23" s="232"/>
      <c r="C23" s="63" t="s">
        <v>104</v>
      </c>
      <c r="D23" s="64">
        <v>194245.71428571429</v>
      </c>
    </row>
    <row r="24" spans="1:19" s="96" customFormat="1" ht="18" customHeight="1" thickBot="1" x14ac:dyDescent="0.25">
      <c r="A24" s="95"/>
      <c r="B24" s="67"/>
      <c r="C24" s="68" t="s">
        <v>30</v>
      </c>
      <c r="D24" s="69">
        <f>SUM(D21:D23)</f>
        <v>555714.2771428572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</row>
  </sheetData>
  <sheetProtection password="C96C" sheet="1" objects="1" scenarios="1" selectLockedCells="1" selectUnlockedCells="1"/>
  <mergeCells count="21">
    <mergeCell ref="B21:B23"/>
    <mergeCell ref="H4:H5"/>
    <mergeCell ref="I4:I5"/>
    <mergeCell ref="J4:J5"/>
    <mergeCell ref="K4:K5"/>
    <mergeCell ref="G4:G5"/>
    <mergeCell ref="F4:F5"/>
    <mergeCell ref="B1:S1"/>
    <mergeCell ref="A2:S2"/>
    <mergeCell ref="B3:S3"/>
    <mergeCell ref="A4:A5"/>
    <mergeCell ref="B4:B5"/>
    <mergeCell ref="C4:C5"/>
    <mergeCell ref="D4:D5"/>
    <mergeCell ref="E4:E5"/>
    <mergeCell ref="L4:L5"/>
    <mergeCell ref="O4:P4"/>
    <mergeCell ref="Q4:Q5"/>
    <mergeCell ref="R4:R5"/>
    <mergeCell ref="S4:S5"/>
    <mergeCell ref="M4:M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topLeftCell="A11" zoomScaleNormal="100" workbookViewId="0">
      <selection activeCell="I25" sqref="I25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0.42578125" style="133" customWidth="1"/>
    <col min="5" max="5" width="11.5703125" style="153" customWidth="1"/>
    <col min="6" max="6" width="0.28515625" style="153" customWidth="1"/>
    <col min="7" max="7" width="11.28515625" style="153" customWidth="1"/>
    <col min="8" max="8" width="10" style="153" customWidth="1"/>
    <col min="9" max="9" width="12" style="153" customWidth="1"/>
    <col min="10" max="10" width="0.42578125" style="153" customWidth="1"/>
    <col min="11" max="11" width="12" style="153" customWidth="1"/>
    <col min="12" max="12" width="0.28515625" style="153" customWidth="1"/>
    <col min="13" max="13" width="12.5703125" style="153" customWidth="1"/>
    <col min="14" max="14" width="11.7109375" style="149" customWidth="1"/>
    <col min="15" max="15" width="0.42578125" style="153" customWidth="1"/>
    <col min="16" max="16" width="10.42578125" style="153" customWidth="1"/>
    <col min="17" max="17" width="11" style="153" customWidth="1"/>
    <col min="18" max="18" width="11.7109375" style="149" customWidth="1"/>
    <col min="19" max="19" width="0.28515625" style="153" customWidth="1"/>
    <col min="20" max="20" width="14.85546875" style="149" customWidth="1"/>
    <col min="21" max="21" width="0.7109375" style="94" customWidth="1"/>
    <col min="22" max="16384" width="11.42578125" style="94"/>
  </cols>
  <sheetData>
    <row r="1" spans="1:34" s="93" customFormat="1" ht="15" customHeight="1" x14ac:dyDescent="0.2">
      <c r="A1" s="92"/>
      <c r="B1" s="217" t="s">
        <v>155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34" ht="15" customHeight="1" x14ac:dyDescent="0.2">
      <c r="A2" s="217" t="s">
        <v>180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34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34" s="95" customFormat="1" ht="14.25" customHeight="1" x14ac:dyDescent="0.2">
      <c r="A4" s="219" t="s">
        <v>1</v>
      </c>
      <c r="B4" s="221" t="s">
        <v>2</v>
      </c>
      <c r="C4" s="229" t="s">
        <v>3</v>
      </c>
      <c r="D4" s="207"/>
      <c r="E4" s="223" t="s">
        <v>4</v>
      </c>
      <c r="F4" s="223"/>
      <c r="G4" s="221" t="s">
        <v>5</v>
      </c>
      <c r="H4" s="221" t="s">
        <v>34</v>
      </c>
      <c r="I4" s="221" t="s">
        <v>48</v>
      </c>
      <c r="J4" s="221"/>
      <c r="K4" s="221" t="s">
        <v>41</v>
      </c>
      <c r="L4" s="221"/>
      <c r="M4" s="223" t="s">
        <v>25</v>
      </c>
      <c r="N4" s="225" t="s">
        <v>49</v>
      </c>
      <c r="O4" s="97"/>
      <c r="P4" s="227" t="s">
        <v>6</v>
      </c>
      <c r="Q4" s="228"/>
      <c r="R4" s="225" t="s">
        <v>51</v>
      </c>
      <c r="S4" s="223"/>
      <c r="T4" s="223" t="s">
        <v>30</v>
      </c>
    </row>
    <row r="5" spans="1:34" s="95" customFormat="1" ht="33.75" customHeight="1" x14ac:dyDescent="0.2">
      <c r="A5" s="220"/>
      <c r="B5" s="222"/>
      <c r="C5" s="230"/>
      <c r="D5" s="208"/>
      <c r="E5" s="224"/>
      <c r="F5" s="224"/>
      <c r="G5" s="222"/>
      <c r="H5" s="222"/>
      <c r="I5" s="222"/>
      <c r="J5" s="222"/>
      <c r="K5" s="222"/>
      <c r="L5" s="222"/>
      <c r="M5" s="224"/>
      <c r="N5" s="226"/>
      <c r="O5" s="205"/>
      <c r="P5" s="99" t="s">
        <v>37</v>
      </c>
      <c r="Q5" s="206" t="s">
        <v>38</v>
      </c>
      <c r="R5" s="226"/>
      <c r="S5" s="224"/>
      <c r="T5" s="224"/>
    </row>
    <row r="6" spans="1:34" s="5" customFormat="1" ht="17.25" customHeight="1" x14ac:dyDescent="0.2">
      <c r="A6" s="39">
        <v>2016</v>
      </c>
      <c r="B6" s="39" t="s">
        <v>7</v>
      </c>
      <c r="C6" s="14" t="s">
        <v>8</v>
      </c>
      <c r="D6" s="212">
        <f>7+21+37</f>
        <v>65</v>
      </c>
      <c r="E6" s="41">
        <v>943940</v>
      </c>
      <c r="F6" s="41"/>
      <c r="G6" s="41">
        <v>264295</v>
      </c>
      <c r="H6" s="41">
        <v>15615</v>
      </c>
      <c r="I6" s="41">
        <v>55170</v>
      </c>
      <c r="J6" s="41"/>
      <c r="K6" s="41">
        <f t="shared" ref="K6:K11" si="0">SUM(G6,H6,I6)</f>
        <v>335080</v>
      </c>
      <c r="L6" s="41"/>
      <c r="M6" s="41">
        <v>6630</v>
      </c>
      <c r="N6" s="22">
        <f t="shared" ref="N6:N11" si="1">SUM(E6,K6,M6)</f>
        <v>1285650</v>
      </c>
      <c r="O6" s="41"/>
      <c r="P6" s="41"/>
      <c r="Q6" s="41"/>
      <c r="R6" s="22">
        <f t="shared" ref="R6:R11" si="2">SUM(P6:Q6)</f>
        <v>0</v>
      </c>
      <c r="S6" s="41"/>
      <c r="T6" s="38">
        <f t="shared" ref="T6:T11" si="3">SUM(E6,K6,M6,R6)</f>
        <v>1285650</v>
      </c>
      <c r="V6" s="83"/>
      <c r="W6" s="83"/>
      <c r="Y6" s="84"/>
      <c r="AB6" s="84"/>
      <c r="AC6" s="182"/>
      <c r="AD6" s="183"/>
      <c r="AE6" s="83"/>
      <c r="AF6" s="83"/>
      <c r="AG6" s="83"/>
      <c r="AH6" s="84"/>
    </row>
    <row r="7" spans="1:34" s="5" customFormat="1" ht="23.25" customHeight="1" x14ac:dyDescent="0.2">
      <c r="A7" s="39"/>
      <c r="B7" s="39" t="s">
        <v>17</v>
      </c>
      <c r="C7" s="14" t="s">
        <v>181</v>
      </c>
      <c r="D7" s="212">
        <v>131</v>
      </c>
      <c r="E7" s="41">
        <v>1707205</v>
      </c>
      <c r="F7" s="41"/>
      <c r="G7" s="41">
        <v>404990</v>
      </c>
      <c r="H7" s="41">
        <v>11425</v>
      </c>
      <c r="I7" s="41">
        <v>49655</v>
      </c>
      <c r="J7" s="41"/>
      <c r="K7" s="41">
        <f t="shared" si="0"/>
        <v>466070</v>
      </c>
      <c r="L7" s="41"/>
      <c r="M7" s="41">
        <v>18885</v>
      </c>
      <c r="N7" s="22">
        <f t="shared" si="1"/>
        <v>2192160</v>
      </c>
      <c r="O7" s="41"/>
      <c r="P7" s="41"/>
      <c r="Q7" s="41"/>
      <c r="R7" s="22">
        <f t="shared" si="2"/>
        <v>0</v>
      </c>
      <c r="S7" s="41"/>
      <c r="T7" s="38">
        <f t="shared" si="3"/>
        <v>2192160</v>
      </c>
      <c r="V7" s="83"/>
      <c r="W7" s="83"/>
      <c r="Y7" s="84"/>
      <c r="AB7" s="84"/>
      <c r="AC7" s="182"/>
      <c r="AD7" s="183"/>
      <c r="AE7" s="83"/>
      <c r="AF7" s="83"/>
      <c r="AG7" s="83"/>
      <c r="AH7" s="84"/>
    </row>
    <row r="8" spans="1:34" s="5" customFormat="1" ht="26.25" customHeight="1" x14ac:dyDescent="0.2">
      <c r="A8" s="39"/>
      <c r="B8" s="39" t="s">
        <v>19</v>
      </c>
      <c r="C8" s="14" t="s">
        <v>182</v>
      </c>
      <c r="D8" s="212">
        <v>10</v>
      </c>
      <c r="E8" s="41">
        <v>172905</v>
      </c>
      <c r="F8" s="41"/>
      <c r="G8" s="41">
        <v>298590</v>
      </c>
      <c r="H8" s="41">
        <v>9200</v>
      </c>
      <c r="I8" s="41">
        <v>40530</v>
      </c>
      <c r="J8" s="41"/>
      <c r="K8" s="41">
        <f t="shared" si="0"/>
        <v>348320</v>
      </c>
      <c r="L8" s="41"/>
      <c r="M8" s="41">
        <v>4875</v>
      </c>
      <c r="N8" s="22">
        <f t="shared" si="1"/>
        <v>526100</v>
      </c>
      <c r="O8" s="41"/>
      <c r="P8" s="41"/>
      <c r="Q8" s="41"/>
      <c r="R8" s="22">
        <f t="shared" si="2"/>
        <v>0</v>
      </c>
      <c r="S8" s="41"/>
      <c r="T8" s="38">
        <f t="shared" si="3"/>
        <v>526100</v>
      </c>
      <c r="V8" s="83"/>
      <c r="W8" s="83"/>
      <c r="Y8" s="84"/>
      <c r="AB8" s="84"/>
      <c r="AC8" s="182"/>
      <c r="AD8" s="183"/>
      <c r="AE8" s="83"/>
      <c r="AF8" s="83"/>
      <c r="AG8" s="83"/>
      <c r="AH8" s="84"/>
    </row>
    <row r="9" spans="1:34" s="5" customFormat="1" ht="23.25" customHeight="1" x14ac:dyDescent="0.2">
      <c r="A9" s="39"/>
      <c r="B9" s="39" t="s">
        <v>31</v>
      </c>
      <c r="C9" s="14" t="s">
        <v>183</v>
      </c>
      <c r="D9" s="212">
        <v>40</v>
      </c>
      <c r="E9" s="41">
        <v>457925</v>
      </c>
      <c r="F9" s="41"/>
      <c r="G9" s="41">
        <v>275580</v>
      </c>
      <c r="H9" s="41">
        <v>8155</v>
      </c>
      <c r="I9" s="41">
        <v>47110</v>
      </c>
      <c r="J9" s="41"/>
      <c r="K9" s="41">
        <f t="shared" si="0"/>
        <v>330845</v>
      </c>
      <c r="L9" s="41"/>
      <c r="M9" s="41">
        <v>5660</v>
      </c>
      <c r="N9" s="22">
        <f t="shared" si="1"/>
        <v>794430</v>
      </c>
      <c r="O9" s="41"/>
      <c r="P9" s="41"/>
      <c r="Q9" s="41"/>
      <c r="R9" s="22">
        <f t="shared" si="2"/>
        <v>0</v>
      </c>
      <c r="S9" s="41"/>
      <c r="T9" s="38">
        <f t="shared" si="3"/>
        <v>794430</v>
      </c>
      <c r="V9" s="83"/>
      <c r="W9" s="83"/>
      <c r="Y9" s="84"/>
      <c r="AB9" s="84"/>
      <c r="AC9" s="182"/>
      <c r="AD9" s="183"/>
      <c r="AE9" s="83"/>
      <c r="AF9" s="83"/>
      <c r="AG9" s="83"/>
      <c r="AH9" s="84"/>
    </row>
    <row r="10" spans="1:34" s="5" customFormat="1" ht="18.75" customHeight="1" x14ac:dyDescent="0.2">
      <c r="A10" s="39"/>
      <c r="B10" s="40" t="s">
        <v>10</v>
      </c>
      <c r="C10" s="14" t="s">
        <v>142</v>
      </c>
      <c r="D10" s="212">
        <f>4+5+4+4+4+5</f>
        <v>26</v>
      </c>
      <c r="E10" s="41">
        <v>308565</v>
      </c>
      <c r="F10" s="41"/>
      <c r="G10" s="41">
        <v>6490</v>
      </c>
      <c r="H10" s="41"/>
      <c r="I10" s="41"/>
      <c r="J10" s="41"/>
      <c r="K10" s="41">
        <f t="shared" si="0"/>
        <v>6490</v>
      </c>
      <c r="L10" s="41"/>
      <c r="M10" s="41"/>
      <c r="N10" s="22">
        <f t="shared" si="1"/>
        <v>315055</v>
      </c>
      <c r="O10" s="41"/>
      <c r="P10" s="41"/>
      <c r="Q10" s="41"/>
      <c r="R10" s="22">
        <f t="shared" si="2"/>
        <v>0</v>
      </c>
      <c r="S10" s="41"/>
      <c r="T10" s="38">
        <f t="shared" si="3"/>
        <v>315055</v>
      </c>
      <c r="V10" s="83"/>
      <c r="W10" s="83"/>
      <c r="Y10" s="84"/>
      <c r="AB10" s="84"/>
      <c r="AC10" s="182"/>
      <c r="AD10" s="183"/>
      <c r="AE10" s="83"/>
      <c r="AF10" s="83"/>
      <c r="AG10" s="83"/>
      <c r="AH10" s="84"/>
    </row>
    <row r="11" spans="1:34" s="5" customFormat="1" ht="20.25" customHeight="1" x14ac:dyDescent="0.2">
      <c r="A11" s="39"/>
      <c r="B11" s="40" t="s">
        <v>143</v>
      </c>
      <c r="C11" s="14" t="s">
        <v>184</v>
      </c>
      <c r="D11" s="212"/>
      <c r="E11" s="41"/>
      <c r="F11" s="41"/>
      <c r="G11" s="41">
        <v>30000</v>
      </c>
      <c r="H11" s="41"/>
      <c r="I11" s="41"/>
      <c r="J11" s="41"/>
      <c r="K11" s="41">
        <f t="shared" si="0"/>
        <v>30000</v>
      </c>
      <c r="L11" s="41"/>
      <c r="M11" s="41"/>
      <c r="N11" s="22">
        <f t="shared" si="1"/>
        <v>30000</v>
      </c>
      <c r="O11" s="41"/>
      <c r="P11" s="41"/>
      <c r="Q11" s="41"/>
      <c r="R11" s="22">
        <f t="shared" si="2"/>
        <v>0</v>
      </c>
      <c r="S11" s="41"/>
      <c r="T11" s="38">
        <f t="shared" si="3"/>
        <v>30000</v>
      </c>
      <c r="V11" s="83"/>
      <c r="W11" s="83"/>
      <c r="Y11" s="84"/>
      <c r="AB11" s="84"/>
      <c r="AC11" s="182"/>
      <c r="AD11" s="183"/>
      <c r="AE11" s="83"/>
      <c r="AF11" s="83"/>
      <c r="AG11" s="83"/>
      <c r="AH11" s="84"/>
    </row>
    <row r="12" spans="1:34" s="5" customFormat="1" ht="22.5" customHeight="1" x14ac:dyDescent="0.2">
      <c r="A12" s="39"/>
      <c r="B12" s="40" t="s">
        <v>145</v>
      </c>
      <c r="C12" s="14" t="s">
        <v>152</v>
      </c>
      <c r="D12" s="212"/>
      <c r="E12" s="41"/>
      <c r="F12" s="41"/>
      <c r="G12" s="41">
        <v>50</v>
      </c>
      <c r="H12" s="41"/>
      <c r="I12" s="41"/>
      <c r="J12" s="41"/>
      <c r="K12" s="41">
        <f>SUM(G12,H12,I12)</f>
        <v>50</v>
      </c>
      <c r="L12" s="41"/>
      <c r="M12" s="41"/>
      <c r="N12" s="22">
        <f>SUM(E12,K12,M12)</f>
        <v>50</v>
      </c>
      <c r="O12" s="41"/>
      <c r="P12" s="41"/>
      <c r="Q12" s="41"/>
      <c r="R12" s="22">
        <f>SUM(P12:Q12)</f>
        <v>0</v>
      </c>
      <c r="S12" s="41"/>
      <c r="T12" s="38">
        <f>SUM(E12,K12,M12,R12)</f>
        <v>50</v>
      </c>
      <c r="V12" s="83"/>
      <c r="W12" s="83"/>
      <c r="Y12" s="84"/>
      <c r="AB12" s="84"/>
      <c r="AC12" s="182"/>
      <c r="AD12" s="183"/>
      <c r="AE12" s="83"/>
      <c r="AF12" s="83"/>
      <c r="AG12" s="83"/>
      <c r="AH12" s="84"/>
    </row>
    <row r="13" spans="1:34" s="5" customFormat="1" ht="21.75" customHeight="1" x14ac:dyDescent="0.2">
      <c r="A13" s="39"/>
      <c r="B13" s="40" t="s">
        <v>150</v>
      </c>
      <c r="C13" s="14" t="s">
        <v>185</v>
      </c>
      <c r="D13" s="213"/>
      <c r="E13" s="41"/>
      <c r="F13" s="41"/>
      <c r="G13" s="41"/>
      <c r="H13" s="41"/>
      <c r="I13" s="41"/>
      <c r="J13" s="41"/>
      <c r="K13" s="41"/>
      <c r="L13" s="41"/>
      <c r="M13" s="41"/>
      <c r="N13" s="22"/>
      <c r="O13" s="41"/>
      <c r="P13" s="214">
        <f>SUM(P14:P14)</f>
        <v>0</v>
      </c>
      <c r="Q13" s="214">
        <f>SUM(Q14:Q14)</f>
        <v>150000</v>
      </c>
      <c r="R13" s="22">
        <f t="shared" ref="R13" si="4">SUM(P13:Q13)</f>
        <v>150000</v>
      </c>
      <c r="S13" s="41"/>
      <c r="T13" s="38">
        <f>SUM(E13,K13,M13,R13)</f>
        <v>150000</v>
      </c>
      <c r="V13" s="83"/>
      <c r="W13" s="83"/>
      <c r="Y13" s="84"/>
      <c r="AB13" s="84"/>
      <c r="AC13" s="182"/>
      <c r="AD13" s="183"/>
      <c r="AE13" s="83"/>
      <c r="AF13" s="83"/>
      <c r="AG13" s="83"/>
      <c r="AH13" s="84"/>
    </row>
    <row r="14" spans="1:34" s="5" customFormat="1" ht="36.75" customHeight="1" x14ac:dyDescent="0.2">
      <c r="A14" s="39"/>
      <c r="B14" s="40"/>
      <c r="C14" s="14" t="s">
        <v>186</v>
      </c>
      <c r="D14" s="213"/>
      <c r="E14" s="41"/>
      <c r="F14" s="41"/>
      <c r="G14" s="41"/>
      <c r="H14" s="41"/>
      <c r="I14" s="41"/>
      <c r="J14" s="41"/>
      <c r="K14" s="41"/>
      <c r="L14" s="41"/>
      <c r="M14" s="41"/>
      <c r="N14" s="22"/>
      <c r="O14" s="41"/>
      <c r="P14" s="215"/>
      <c r="Q14" s="215">
        <v>150000</v>
      </c>
      <c r="R14" s="22"/>
      <c r="S14" s="41"/>
      <c r="T14" s="38">
        <f>SUM(E14,K14,M14,R14)</f>
        <v>0</v>
      </c>
      <c r="V14" s="83"/>
      <c r="W14" s="83"/>
      <c r="Y14" s="84"/>
      <c r="AB14" s="84"/>
      <c r="AC14" s="182"/>
      <c r="AD14" s="183"/>
      <c r="AE14" s="83"/>
      <c r="AF14" s="83"/>
      <c r="AG14" s="83"/>
      <c r="AH14" s="84"/>
    </row>
    <row r="15" spans="1:34" s="8" customFormat="1" ht="21.75" hidden="1" customHeight="1" x14ac:dyDescent="0.2">
      <c r="A15" s="35"/>
      <c r="B15" s="36"/>
      <c r="C15" s="37" t="s">
        <v>44</v>
      </c>
      <c r="D15" s="216">
        <f>SUM(D6:D14)</f>
        <v>272</v>
      </c>
      <c r="E15" s="38">
        <f>SUM(E6:E12)</f>
        <v>3590540</v>
      </c>
      <c r="F15" s="38"/>
      <c r="G15" s="38">
        <f t="shared" ref="G15:O15" si="5">SUM(G6:G12)</f>
        <v>1279995</v>
      </c>
      <c r="H15" s="38">
        <f t="shared" si="5"/>
        <v>44395</v>
      </c>
      <c r="I15" s="38">
        <f t="shared" si="5"/>
        <v>192465</v>
      </c>
      <c r="J15" s="38">
        <f t="shared" si="5"/>
        <v>0</v>
      </c>
      <c r="K15" s="38">
        <f t="shared" si="5"/>
        <v>1516855</v>
      </c>
      <c r="L15" s="38">
        <f t="shared" si="5"/>
        <v>0</v>
      </c>
      <c r="M15" s="38">
        <f t="shared" si="5"/>
        <v>36050</v>
      </c>
      <c r="N15" s="22">
        <f t="shared" si="5"/>
        <v>5143445</v>
      </c>
      <c r="O15" s="38">
        <f t="shared" si="5"/>
        <v>0</v>
      </c>
      <c r="P15" s="38">
        <f>SUM(P6:P13)</f>
        <v>0</v>
      </c>
      <c r="Q15" s="38">
        <f>SUM(Q6:Q13)</f>
        <v>150000</v>
      </c>
      <c r="R15" s="22">
        <f>SUM(R6:R13)</f>
        <v>150000</v>
      </c>
      <c r="S15" s="38">
        <f>SUM(S6:S12)</f>
        <v>0</v>
      </c>
      <c r="T15" s="38">
        <f>SUM(T6:T13)</f>
        <v>5293445</v>
      </c>
      <c r="V15" s="70"/>
      <c r="W15" s="70"/>
      <c r="Y15" s="6"/>
      <c r="AB15" s="6"/>
      <c r="AC15" s="182"/>
      <c r="AD15" s="184"/>
      <c r="AE15" s="70"/>
      <c r="AF15" s="70"/>
      <c r="AG15" s="70"/>
      <c r="AH15" s="6"/>
    </row>
    <row r="16" spans="1:34" s="5" customFormat="1" ht="21.75" hidden="1" customHeight="1" x14ac:dyDescent="0.2">
      <c r="A16" s="39"/>
      <c r="B16" s="40"/>
      <c r="C16" s="14" t="s">
        <v>29</v>
      </c>
      <c r="D16" s="210"/>
      <c r="E16" s="41"/>
      <c r="F16" s="41"/>
      <c r="G16" s="41"/>
      <c r="H16" s="41"/>
      <c r="I16" s="41"/>
      <c r="J16" s="41"/>
      <c r="K16" s="41">
        <f>SUM(G16,H16,I16)</f>
        <v>0</v>
      </c>
      <c r="L16" s="41"/>
      <c r="M16" s="41">
        <v>0</v>
      </c>
      <c r="N16" s="22">
        <f>SUM(E16,K16,M16)</f>
        <v>0</v>
      </c>
      <c r="O16" s="41"/>
      <c r="P16" s="41"/>
      <c r="Q16" s="41"/>
      <c r="R16" s="22">
        <f>SUM(P16:Q16)</f>
        <v>0</v>
      </c>
      <c r="S16" s="41"/>
      <c r="T16" s="38">
        <f>SUM(E16,K16,M16,R16)</f>
        <v>0</v>
      </c>
      <c r="V16" s="83"/>
      <c r="W16" s="83"/>
      <c r="Y16" s="84"/>
      <c r="AB16" s="84"/>
      <c r="AC16" s="182"/>
      <c r="AD16" s="183"/>
      <c r="AE16" s="83"/>
      <c r="AF16" s="83"/>
      <c r="AG16" s="83"/>
      <c r="AH16" s="84"/>
    </row>
    <row r="17" spans="1:34" s="8" customFormat="1" ht="21.75" customHeight="1" x14ac:dyDescent="0.2">
      <c r="A17" s="35"/>
      <c r="B17" s="35"/>
      <c r="C17" s="21" t="s">
        <v>52</v>
      </c>
      <c r="D17" s="211">
        <f>SUM(D6:D12)</f>
        <v>272</v>
      </c>
      <c r="E17" s="42">
        <f>SUM(E15:E16)</f>
        <v>3590540</v>
      </c>
      <c r="F17" s="42"/>
      <c r="G17" s="42">
        <f>SUM(G15:G16)</f>
        <v>1279995</v>
      </c>
      <c r="H17" s="42">
        <f>SUM(H15:H16)</f>
        <v>44395</v>
      </c>
      <c r="I17" s="42">
        <f>SUM(I15:I16)</f>
        <v>192465</v>
      </c>
      <c r="J17" s="42"/>
      <c r="K17" s="42">
        <f>SUM(G17,H17,I17)</f>
        <v>1516855</v>
      </c>
      <c r="L17" s="42"/>
      <c r="M17" s="42">
        <f>SUM(M15:M16)</f>
        <v>36050</v>
      </c>
      <c r="N17" s="22">
        <f>SUM(E17,K17,M17)</f>
        <v>5143445</v>
      </c>
      <c r="O17" s="42"/>
      <c r="P17" s="42">
        <f>SUM(P15:P16)</f>
        <v>0</v>
      </c>
      <c r="Q17" s="42">
        <f>SUM(Q15:Q16)</f>
        <v>150000</v>
      </c>
      <c r="R17" s="22">
        <f>SUM(R15:R16)</f>
        <v>150000</v>
      </c>
      <c r="S17" s="42"/>
      <c r="T17" s="42">
        <f>SUM(T15:T16)</f>
        <v>5293445</v>
      </c>
      <c r="V17" s="70"/>
      <c r="W17" s="70"/>
      <c r="Y17" s="6"/>
      <c r="AB17" s="6"/>
      <c r="AC17" s="182"/>
      <c r="AD17" s="184"/>
      <c r="AE17" s="70"/>
      <c r="AF17" s="70"/>
      <c r="AG17" s="70"/>
      <c r="AH17" s="6"/>
    </row>
    <row r="18" spans="1:34" s="28" customFormat="1" ht="21.75" customHeight="1" x14ac:dyDescent="0.2">
      <c r="A18" s="23"/>
      <c r="B18" s="24"/>
      <c r="C18" s="25" t="s">
        <v>190</v>
      </c>
      <c r="D18" s="197"/>
      <c r="E18" s="26">
        <v>845545.85</v>
      </c>
      <c r="F18" s="26"/>
      <c r="G18" s="26">
        <v>404793.29</v>
      </c>
      <c r="H18" s="26">
        <v>11148.1</v>
      </c>
      <c r="I18" s="26">
        <v>72638.399999999994</v>
      </c>
      <c r="J18" s="26"/>
      <c r="K18" s="26">
        <f>SUM(G18:I18)</f>
        <v>488579.78999999992</v>
      </c>
      <c r="L18" s="26"/>
      <c r="M18" s="26">
        <v>3765</v>
      </c>
      <c r="N18" s="27">
        <f>SUM(E18,K18,M18)</f>
        <v>1337890.6399999999</v>
      </c>
      <c r="O18" s="26"/>
      <c r="P18" s="26"/>
      <c r="Q18" s="26">
        <v>0</v>
      </c>
      <c r="R18" s="26">
        <f>SUM(P18:Q18)</f>
        <v>0</v>
      </c>
      <c r="S18" s="26"/>
      <c r="T18" s="26">
        <f>SUM(N18,R18)</f>
        <v>1337890.6399999999</v>
      </c>
      <c r="V18" s="185"/>
      <c r="W18" s="185"/>
      <c r="Y18" s="186"/>
      <c r="AB18" s="186"/>
      <c r="AC18" s="34"/>
      <c r="AD18" s="187"/>
      <c r="AE18" s="185"/>
      <c r="AF18" s="185"/>
      <c r="AG18" s="185"/>
      <c r="AH18" s="186"/>
    </row>
    <row r="19" spans="1:34" s="28" customFormat="1" ht="21.75" hidden="1" customHeight="1" x14ac:dyDescent="0.2">
      <c r="A19" s="23"/>
      <c r="B19" s="24"/>
      <c r="C19" s="25" t="s">
        <v>187</v>
      </c>
      <c r="D19" s="197"/>
      <c r="E19" s="26"/>
      <c r="F19" s="26"/>
      <c r="G19" s="26"/>
      <c r="H19" s="26"/>
      <c r="I19" s="26"/>
      <c r="J19" s="26"/>
      <c r="K19" s="26">
        <f>SUM(G19:I19)</f>
        <v>0</v>
      </c>
      <c r="L19" s="26"/>
      <c r="M19" s="26"/>
      <c r="N19" s="27">
        <f>SUM(E19,K19,M19)</f>
        <v>0</v>
      </c>
      <c r="O19" s="26"/>
      <c r="P19" s="26"/>
      <c r="Q19" s="26"/>
      <c r="R19" s="26">
        <f>SUM(P19:Q19)</f>
        <v>0</v>
      </c>
      <c r="S19" s="26"/>
      <c r="T19" s="26">
        <f>SUM(N19,R19)</f>
        <v>0</v>
      </c>
      <c r="V19" s="185"/>
      <c r="W19" s="185"/>
      <c r="Y19" s="186"/>
      <c r="AB19" s="186"/>
      <c r="AC19" s="34"/>
      <c r="AD19" s="187"/>
      <c r="AE19" s="185"/>
      <c r="AF19" s="185"/>
      <c r="AG19" s="185"/>
      <c r="AH19" s="186"/>
    </row>
    <row r="20" spans="1:34" s="34" customFormat="1" ht="21.75" customHeight="1" x14ac:dyDescent="0.2">
      <c r="A20" s="29"/>
      <c r="B20" s="30"/>
      <c r="C20" s="31" t="s">
        <v>175</v>
      </c>
      <c r="D20" s="198">
        <f>SUM(D17:D18)</f>
        <v>272</v>
      </c>
      <c r="E20" s="32">
        <f>E17-E18-E19</f>
        <v>2744994.15</v>
      </c>
      <c r="F20" s="32"/>
      <c r="G20" s="32">
        <f>G17-G18-G19</f>
        <v>875201.71</v>
      </c>
      <c r="H20" s="32">
        <f t="shared" ref="H20:T20" si="6">H17-H18-H19</f>
        <v>33246.9</v>
      </c>
      <c r="I20" s="32">
        <f t="shared" si="6"/>
        <v>119826.6</v>
      </c>
      <c r="J20" s="32">
        <f t="shared" si="6"/>
        <v>0</v>
      </c>
      <c r="K20" s="32">
        <f t="shared" si="6"/>
        <v>1028275.2100000001</v>
      </c>
      <c r="L20" s="32">
        <f t="shared" si="6"/>
        <v>0</v>
      </c>
      <c r="M20" s="32">
        <f t="shared" si="6"/>
        <v>32285</v>
      </c>
      <c r="N20" s="33">
        <f t="shared" si="6"/>
        <v>3805554.3600000003</v>
      </c>
      <c r="O20" s="32">
        <f t="shared" si="6"/>
        <v>0</v>
      </c>
      <c r="P20" s="32">
        <f t="shared" si="6"/>
        <v>0</v>
      </c>
      <c r="Q20" s="32">
        <f t="shared" si="6"/>
        <v>150000</v>
      </c>
      <c r="R20" s="32">
        <f t="shared" si="6"/>
        <v>150000</v>
      </c>
      <c r="S20" s="32">
        <f t="shared" si="6"/>
        <v>0</v>
      </c>
      <c r="T20" s="32">
        <f t="shared" si="6"/>
        <v>3955554.3600000003</v>
      </c>
      <c r="V20" s="188"/>
      <c r="W20" s="188"/>
      <c r="Y20" s="189"/>
      <c r="AB20" s="189"/>
      <c r="AD20" s="190"/>
      <c r="AE20" s="188"/>
      <c r="AF20" s="188"/>
      <c r="AG20" s="188"/>
      <c r="AH20" s="189"/>
    </row>
    <row r="21" spans="1:34" s="8" customFormat="1" ht="9" customHeight="1" x14ac:dyDescent="0.2">
      <c r="A21" s="209"/>
      <c r="B21" s="209"/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V21" s="188"/>
      <c r="W21" s="199"/>
      <c r="Y21" s="6"/>
      <c r="AB21" s="6"/>
      <c r="AC21" s="182"/>
      <c r="AD21" s="184"/>
      <c r="AE21" s="70"/>
      <c r="AF21" s="70"/>
      <c r="AG21" s="70"/>
      <c r="AH21" s="6"/>
    </row>
    <row r="22" spans="1:34" s="200" customFormat="1" ht="26.25" customHeight="1" x14ac:dyDescent="0.2">
      <c r="A22" s="209"/>
      <c r="B22" s="209" t="s">
        <v>45</v>
      </c>
      <c r="C22" s="252" t="s">
        <v>189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V22" s="201"/>
      <c r="W22" s="56"/>
      <c r="Y22" s="209"/>
      <c r="AB22" s="209"/>
      <c r="AC22" s="202"/>
      <c r="AD22" s="203"/>
      <c r="AE22" s="56"/>
      <c r="AF22" s="56"/>
      <c r="AG22" s="56"/>
      <c r="AH22" s="209"/>
    </row>
    <row r="23" spans="1:34" s="96" customFormat="1" x14ac:dyDescent="0.2">
      <c r="A23" s="204"/>
      <c r="B23" s="204"/>
      <c r="C23" s="204"/>
      <c r="D23" s="20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34" s="96" customFormat="1" ht="22.5" x14ac:dyDescent="0.2">
      <c r="A24" s="204"/>
      <c r="B24" s="170" t="s">
        <v>98</v>
      </c>
      <c r="C24" s="171" t="s">
        <v>166</v>
      </c>
      <c r="D24" s="171"/>
      <c r="E24" s="172" t="s">
        <v>100</v>
      </c>
      <c r="F24" s="169"/>
      <c r="G24" s="169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34" s="96" customFormat="1" ht="38.25" customHeight="1" x14ac:dyDescent="0.2">
      <c r="A25" s="204"/>
      <c r="B25" s="170">
        <v>2016</v>
      </c>
      <c r="C25" s="173" t="s">
        <v>188</v>
      </c>
      <c r="D25" s="173"/>
      <c r="E25" s="174">
        <v>150000</v>
      </c>
      <c r="F25" s="169"/>
      <c r="G25" s="169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34" s="153" customFormat="1" ht="21" customHeight="1" x14ac:dyDescent="0.2">
      <c r="A26" s="154"/>
      <c r="B26" s="175"/>
      <c r="C26" s="176" t="s">
        <v>30</v>
      </c>
      <c r="D26" s="176"/>
      <c r="E26" s="177">
        <f>SUM(E25:E25)</f>
        <v>150000</v>
      </c>
      <c r="F26" s="169"/>
      <c r="G26" s="169"/>
      <c r="K26" s="128"/>
      <c r="N26" s="149"/>
      <c r="R26" s="149"/>
      <c r="T26" s="149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s="153" customFormat="1" ht="12.75" x14ac:dyDescent="0.2">
      <c r="A27" s="154"/>
      <c r="B27" s="130"/>
      <c r="C27" s="133"/>
      <c r="D27" s="133"/>
      <c r="E27" s="131"/>
      <c r="F27" s="169"/>
      <c r="G27" s="169"/>
      <c r="K27" s="128"/>
      <c r="N27" s="149"/>
      <c r="R27" s="149"/>
      <c r="T27" s="149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153" customFormat="1" x14ac:dyDescent="0.2">
      <c r="A28" s="154"/>
      <c r="B28" s="154"/>
      <c r="C28" s="133"/>
      <c r="D28" s="133"/>
      <c r="K28" s="128"/>
      <c r="N28" s="149"/>
      <c r="R28" s="149"/>
      <c r="T28" s="149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153" customFormat="1" x14ac:dyDescent="0.2">
      <c r="A29" s="154"/>
      <c r="B29" s="253" t="s">
        <v>191</v>
      </c>
      <c r="C29" s="253"/>
      <c r="D29" s="133"/>
      <c r="K29" s="128"/>
      <c r="N29" s="149"/>
      <c r="R29" s="149"/>
      <c r="T29" s="149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</row>
    <row r="30" spans="1:34" s="153" customFormat="1" x14ac:dyDescent="0.2">
      <c r="A30" s="154"/>
      <c r="B30" s="154"/>
      <c r="C30" s="133"/>
      <c r="D30" s="133"/>
      <c r="K30" s="128"/>
      <c r="N30" s="149"/>
      <c r="R30" s="149"/>
      <c r="T30" s="149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s="153" customFormat="1" x14ac:dyDescent="0.2">
      <c r="A31" s="154"/>
      <c r="B31" s="154"/>
      <c r="C31" s="133"/>
      <c r="D31" s="133"/>
      <c r="K31" s="128"/>
      <c r="N31" s="149"/>
      <c r="R31" s="149"/>
      <c r="T31" s="149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</row>
    <row r="32" spans="1:34" s="153" customFormat="1" x14ac:dyDescent="0.2">
      <c r="A32" s="154"/>
      <c r="B32" s="154"/>
      <c r="C32" s="133"/>
      <c r="D32" s="133"/>
      <c r="K32" s="128"/>
      <c r="N32" s="149"/>
      <c r="R32" s="149"/>
      <c r="T32" s="149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4" s="153" customFormat="1" x14ac:dyDescent="0.2">
      <c r="A33" s="154"/>
      <c r="B33" s="154"/>
      <c r="C33" s="133"/>
      <c r="D33" s="133"/>
      <c r="K33" s="128"/>
      <c r="N33" s="149"/>
      <c r="R33" s="149"/>
      <c r="T33" s="149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s="153" customFormat="1" x14ac:dyDescent="0.2">
      <c r="A34" s="154"/>
      <c r="B34" s="154"/>
      <c r="C34" s="133"/>
      <c r="D34" s="133"/>
      <c r="K34" s="128"/>
      <c r="N34" s="149"/>
      <c r="R34" s="149"/>
      <c r="T34" s="149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s="153" customFormat="1" x14ac:dyDescent="0.2">
      <c r="A35" s="154"/>
      <c r="B35" s="154"/>
      <c r="C35" s="133"/>
      <c r="D35" s="133"/>
      <c r="K35" s="128"/>
      <c r="N35" s="149"/>
      <c r="R35" s="149"/>
      <c r="T35" s="149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s="153" customFormat="1" x14ac:dyDescent="0.2">
      <c r="A36" s="154"/>
      <c r="B36" s="154"/>
      <c r="C36" s="133"/>
      <c r="D36" s="133"/>
      <c r="K36" s="128"/>
      <c r="N36" s="149"/>
      <c r="R36" s="149"/>
      <c r="T36" s="149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s="153" customFormat="1" x14ac:dyDescent="0.2">
      <c r="A37" s="154"/>
      <c r="B37" s="154"/>
      <c r="C37" s="133"/>
      <c r="D37" s="133"/>
      <c r="K37" s="128"/>
      <c r="N37" s="149"/>
      <c r="R37" s="149"/>
      <c r="T37" s="149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s="153" customFormat="1" x14ac:dyDescent="0.2">
      <c r="A38" s="154"/>
      <c r="B38" s="154"/>
      <c r="C38" s="133"/>
      <c r="D38" s="133"/>
      <c r="K38" s="128"/>
      <c r="N38" s="149"/>
      <c r="R38" s="149"/>
      <c r="T38" s="14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</sheetData>
  <sheetProtection password="C96C" sheet="1" objects="1" scenarios="1" selectLockedCells="1"/>
  <mergeCells count="23">
    <mergeCell ref="B29:C29"/>
    <mergeCell ref="B1:T1"/>
    <mergeCell ref="A2:T2"/>
    <mergeCell ref="B3:T3"/>
    <mergeCell ref="A4:A5"/>
    <mergeCell ref="B4:B5"/>
    <mergeCell ref="C4:C5"/>
    <mergeCell ref="E4:E5"/>
    <mergeCell ref="F4:F5"/>
    <mergeCell ref="G4:G5"/>
    <mergeCell ref="H4:H5"/>
    <mergeCell ref="C22:T22"/>
    <mergeCell ref="I4:I5"/>
    <mergeCell ref="J4:J5"/>
    <mergeCell ref="K4:K5"/>
    <mergeCell ref="L4:L5"/>
    <mergeCell ref="M4:M5"/>
    <mergeCell ref="N4:N5"/>
    <mergeCell ref="P4:Q4"/>
    <mergeCell ref="R4:R5"/>
    <mergeCell ref="S4:S5"/>
    <mergeCell ref="T4:T5"/>
    <mergeCell ref="C21:T2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9" zoomScale="90" zoomScaleNormal="90" zoomScaleSheetLayoutView="75" workbookViewId="0">
      <selection activeCell="A13"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78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7"/>
      <c r="O5" s="12" t="s">
        <v>37</v>
      </c>
      <c r="P5" s="89" t="s">
        <v>38</v>
      </c>
      <c r="Q5" s="245"/>
      <c r="R5" s="240"/>
      <c r="S5" s="240"/>
    </row>
    <row r="6" spans="1:19" ht="18" customHeight="1" x14ac:dyDescent="0.2">
      <c r="A6" s="13">
        <v>1999</v>
      </c>
      <c r="B6" s="13" t="s">
        <v>7</v>
      </c>
      <c r="C6" s="14" t="s">
        <v>8</v>
      </c>
      <c r="D6" s="15">
        <v>345554.86</v>
      </c>
      <c r="E6" s="15"/>
      <c r="F6" s="15">
        <v>29529.71</v>
      </c>
      <c r="G6" s="15">
        <v>800</v>
      </c>
      <c r="H6" s="15"/>
      <c r="I6" s="15"/>
      <c r="J6" s="15">
        <f t="shared" ref="J6:J12" si="0">SUM(F6:G6)</f>
        <v>30329.71</v>
      </c>
      <c r="K6" s="15"/>
      <c r="L6" s="15"/>
      <c r="M6" s="16">
        <f t="shared" ref="M6:M13" si="1">SUM(D6,J6,L6)</f>
        <v>375884.57</v>
      </c>
      <c r="N6" s="15"/>
      <c r="O6" s="15"/>
      <c r="P6" s="15"/>
      <c r="Q6" s="16">
        <f>SUM(O6:P6)</f>
        <v>0</v>
      </c>
      <c r="R6" s="15"/>
      <c r="S6" s="17">
        <f>SUM(D6,J6,L6,Q6)</f>
        <v>375884.57</v>
      </c>
    </row>
    <row r="7" spans="1:19" ht="18" customHeight="1" x14ac:dyDescent="0.2">
      <c r="A7" s="13"/>
      <c r="B7" s="20" t="s">
        <v>17</v>
      </c>
      <c r="C7" s="14" t="s">
        <v>12</v>
      </c>
      <c r="D7" s="15">
        <v>398133.14</v>
      </c>
      <c r="E7" s="15"/>
      <c r="F7" s="15">
        <v>212446.29</v>
      </c>
      <c r="G7" s="15">
        <v>5862.85</v>
      </c>
      <c r="H7" s="15"/>
      <c r="I7" s="15"/>
      <c r="J7" s="15">
        <f t="shared" si="0"/>
        <v>218309.14</v>
      </c>
      <c r="K7" s="15"/>
      <c r="L7" s="15"/>
      <c r="M7" s="16">
        <f t="shared" si="1"/>
        <v>616442.28</v>
      </c>
      <c r="N7" s="15"/>
      <c r="O7" s="15"/>
      <c r="P7" s="15"/>
      <c r="Q7" s="16">
        <f>SUM(O7:P7)</f>
        <v>0</v>
      </c>
      <c r="R7" s="15"/>
      <c r="S7" s="17">
        <f>SUM(D7,J7,L7,Q7)</f>
        <v>616442.28</v>
      </c>
    </row>
    <row r="8" spans="1:19" ht="18" customHeight="1" x14ac:dyDescent="0.2">
      <c r="A8" s="13"/>
      <c r="B8" s="20" t="s">
        <v>26</v>
      </c>
      <c r="C8" s="14" t="s">
        <v>39</v>
      </c>
      <c r="D8" s="15"/>
      <c r="E8" s="15"/>
      <c r="F8" s="15"/>
      <c r="G8" s="15"/>
      <c r="H8" s="15"/>
      <c r="I8" s="15"/>
      <c r="J8" s="15">
        <f t="shared" si="0"/>
        <v>0</v>
      </c>
      <c r="K8" s="15"/>
      <c r="L8" s="15"/>
      <c r="M8" s="16">
        <f t="shared" si="1"/>
        <v>0</v>
      </c>
      <c r="N8" s="15"/>
      <c r="O8" s="15"/>
      <c r="P8" s="15">
        <v>685714.28</v>
      </c>
      <c r="Q8" s="16">
        <f>SUM(O8:P8)</f>
        <v>685714.28</v>
      </c>
      <c r="R8" s="15"/>
      <c r="S8" s="17">
        <f>SUM(D8,J8,L8,Q8)</f>
        <v>685714.28</v>
      </c>
    </row>
    <row r="9" spans="1:19" ht="18" customHeight="1" x14ac:dyDescent="0.2">
      <c r="A9" s="13"/>
      <c r="B9" s="20" t="s">
        <v>40</v>
      </c>
      <c r="C9" s="14" t="s">
        <v>16</v>
      </c>
      <c r="D9" s="15"/>
      <c r="E9" s="15"/>
      <c r="F9" s="15"/>
      <c r="G9" s="15"/>
      <c r="H9" s="15"/>
      <c r="I9" s="15"/>
      <c r="J9" s="15"/>
      <c r="K9" s="15"/>
      <c r="L9" s="15"/>
      <c r="M9" s="16">
        <f t="shared" si="1"/>
        <v>0</v>
      </c>
      <c r="N9" s="15"/>
      <c r="O9" s="15">
        <v>228571.43</v>
      </c>
      <c r="P9" s="15"/>
      <c r="Q9" s="16">
        <f>SUM(O9:P9)</f>
        <v>228571.43</v>
      </c>
      <c r="R9" s="15"/>
      <c r="S9" s="17">
        <f>SUM(D9,J9,L9,Q9)</f>
        <v>228571.43</v>
      </c>
    </row>
    <row r="10" spans="1:19" s="8" customFormat="1" ht="18" customHeight="1" x14ac:dyDescent="0.2">
      <c r="A10" s="35"/>
      <c r="B10" s="35"/>
      <c r="C10" s="37" t="s">
        <v>44</v>
      </c>
      <c r="D10" s="38">
        <f>SUM(D6:D9)</f>
        <v>743688</v>
      </c>
      <c r="E10" s="38"/>
      <c r="F10" s="38">
        <f t="shared" ref="F10:S10" si="2">SUM(F6:F9)</f>
        <v>241976</v>
      </c>
      <c r="G10" s="38">
        <f t="shared" si="2"/>
        <v>6662.85</v>
      </c>
      <c r="H10" s="38"/>
      <c r="I10" s="38"/>
      <c r="J10" s="38">
        <f t="shared" si="2"/>
        <v>248638.85</v>
      </c>
      <c r="K10" s="38"/>
      <c r="L10" s="38">
        <f t="shared" si="2"/>
        <v>0</v>
      </c>
      <c r="M10" s="22">
        <f t="shared" si="1"/>
        <v>992326.85</v>
      </c>
      <c r="N10" s="38"/>
      <c r="O10" s="38">
        <f t="shared" si="2"/>
        <v>228571.43</v>
      </c>
      <c r="P10" s="38">
        <f t="shared" si="2"/>
        <v>685714.28</v>
      </c>
      <c r="Q10" s="22">
        <f t="shared" si="2"/>
        <v>914285.71</v>
      </c>
      <c r="R10" s="38"/>
      <c r="S10" s="38">
        <f t="shared" si="2"/>
        <v>1906612.56</v>
      </c>
    </row>
    <row r="11" spans="1:19" ht="47.25" customHeight="1" x14ac:dyDescent="0.2">
      <c r="A11" s="13"/>
      <c r="B11" s="13"/>
      <c r="C11" s="14" t="s">
        <v>13</v>
      </c>
      <c r="D11" s="15">
        <v>262688</v>
      </c>
      <c r="E11" s="15"/>
      <c r="F11" s="15">
        <v>220068.46</v>
      </c>
      <c r="G11" s="15"/>
      <c r="H11" s="15"/>
      <c r="I11" s="15"/>
      <c r="J11" s="15">
        <f t="shared" si="0"/>
        <v>220068.46</v>
      </c>
      <c r="K11" s="15"/>
      <c r="L11" s="15"/>
      <c r="M11" s="16">
        <f t="shared" si="1"/>
        <v>482756.45999999996</v>
      </c>
      <c r="N11" s="15"/>
      <c r="O11" s="15"/>
      <c r="P11" s="15">
        <v>-482756.46</v>
      </c>
      <c r="Q11" s="16">
        <f>SUM(O11:P11)</f>
        <v>-482756.46</v>
      </c>
      <c r="R11" s="15"/>
      <c r="S11" s="17">
        <f>SUM(D11,J11,L11,Q11)</f>
        <v>0</v>
      </c>
    </row>
    <row r="12" spans="1:19" ht="25.5" customHeight="1" x14ac:dyDescent="0.2">
      <c r="A12" s="13"/>
      <c r="B12" s="13" t="s">
        <v>10</v>
      </c>
      <c r="C12" s="14" t="s">
        <v>64</v>
      </c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6">
        <f t="shared" si="1"/>
        <v>0</v>
      </c>
      <c r="N12" s="15"/>
      <c r="O12" s="15"/>
      <c r="P12" s="15">
        <v>857142.86</v>
      </c>
      <c r="Q12" s="16">
        <f>SUM(O12:P12)</f>
        <v>857142.86</v>
      </c>
      <c r="R12" s="15"/>
      <c r="S12" s="17">
        <f>SUM(D12,J12,L12,Q12)</f>
        <v>857142.86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1006376</v>
      </c>
      <c r="E13" s="42"/>
      <c r="F13" s="42">
        <f t="shared" ref="F13:S13" si="3">SUM(F10:F12)</f>
        <v>462044.45999999996</v>
      </c>
      <c r="G13" s="42">
        <f t="shared" si="3"/>
        <v>6662.85</v>
      </c>
      <c r="H13" s="42"/>
      <c r="I13" s="42"/>
      <c r="J13" s="42">
        <f t="shared" si="3"/>
        <v>468707.31</v>
      </c>
      <c r="K13" s="42"/>
      <c r="L13" s="42">
        <f t="shared" si="3"/>
        <v>0</v>
      </c>
      <c r="M13" s="22">
        <f t="shared" si="1"/>
        <v>1475083.31</v>
      </c>
      <c r="N13" s="42"/>
      <c r="O13" s="42">
        <f t="shared" si="3"/>
        <v>228571.43</v>
      </c>
      <c r="P13" s="42">
        <f t="shared" si="3"/>
        <v>1060100.68</v>
      </c>
      <c r="Q13" s="22">
        <f t="shared" si="3"/>
        <v>1288672.1099999999</v>
      </c>
      <c r="R13" s="42"/>
      <c r="S13" s="42">
        <f t="shared" si="3"/>
        <v>2763755.42</v>
      </c>
    </row>
    <row r="14" spans="1:19" s="28" customFormat="1" ht="18" customHeight="1" x14ac:dyDescent="0.2">
      <c r="A14" s="23"/>
      <c r="B14" s="24"/>
      <c r="C14" s="25" t="s">
        <v>53</v>
      </c>
      <c r="D14" s="26">
        <v>933635.49</v>
      </c>
      <c r="E14" s="26"/>
      <c r="F14" s="26">
        <f>397949.24+64095.22</f>
        <v>462044.45999999996</v>
      </c>
      <c r="G14" s="26">
        <f>8320.74-1657.89</f>
        <v>6662.8499999999995</v>
      </c>
      <c r="H14" s="26"/>
      <c r="I14" s="26"/>
      <c r="J14" s="26">
        <f>SUM(F14:H14)</f>
        <v>468707.30999999994</v>
      </c>
      <c r="K14" s="26"/>
      <c r="L14" s="26">
        <v>0</v>
      </c>
      <c r="M14" s="27">
        <f>SUM(D14,J14,L14)</f>
        <v>1402342.7999999998</v>
      </c>
      <c r="N14" s="26"/>
      <c r="O14" s="26">
        <v>191205.16</v>
      </c>
      <c r="P14" s="26">
        <f>613057.52-155898.96</f>
        <v>457158.56000000006</v>
      </c>
      <c r="Q14" s="26">
        <f>SUM(O14:P14)</f>
        <v>648363.72000000009</v>
      </c>
      <c r="R14" s="26"/>
      <c r="S14" s="26">
        <f>SUM(M14,Q14)</f>
        <v>2050706.52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72740.510000000009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72740.510000000242</v>
      </c>
      <c r="N15" s="32"/>
      <c r="O15" s="32">
        <f>O13-O14</f>
        <v>37366.26999999999</v>
      </c>
      <c r="P15" s="32">
        <f>P13-P14</f>
        <v>602942.11999999988</v>
      </c>
      <c r="Q15" s="32">
        <f>Q13-Q14</f>
        <v>640308.38999999978</v>
      </c>
      <c r="R15" s="32"/>
      <c r="S15" s="32">
        <f>S13-S14</f>
        <v>713048.89999999991</v>
      </c>
    </row>
    <row r="16" spans="1:19" s="48" customFormat="1" ht="18" customHeight="1" x14ac:dyDescent="0.2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46"/>
      <c r="R16" s="46"/>
      <c r="S16" s="46"/>
    </row>
    <row r="17" spans="1:19" s="8" customFormat="1" ht="12.75" customHeight="1" x14ac:dyDescent="0.2">
      <c r="A17" s="88"/>
      <c r="B17" s="8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8" customFormat="1" ht="12.75" customHeight="1" x14ac:dyDescent="0.2">
      <c r="A18" s="88"/>
      <c r="B18" s="59" t="s">
        <v>94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24" customHeight="1" x14ac:dyDescent="0.2">
      <c r="B19" s="246" t="s">
        <v>120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</row>
    <row r="20" spans="1:19" s="19" customFormat="1" ht="12.75" customHeight="1" x14ac:dyDescent="0.2">
      <c r="C20" s="57"/>
      <c r="D20" s="2"/>
      <c r="E20" s="2"/>
      <c r="F20" s="2"/>
      <c r="G20" s="2"/>
      <c r="H20" s="2"/>
      <c r="I20" s="2"/>
      <c r="J20" s="2"/>
      <c r="K20" s="2"/>
      <c r="L20" s="2"/>
      <c r="M20" s="58"/>
      <c r="N20" s="2"/>
      <c r="O20" s="2"/>
      <c r="P20" s="2"/>
      <c r="Q20" s="58"/>
      <c r="R20" s="2"/>
      <c r="S20" s="58"/>
    </row>
    <row r="21" spans="1:19" ht="22.5" x14ac:dyDescent="0.2">
      <c r="B21" s="90" t="s">
        <v>98</v>
      </c>
      <c r="C21" s="61" t="s">
        <v>121</v>
      </c>
      <c r="D21" s="62" t="s">
        <v>100</v>
      </c>
    </row>
    <row r="22" spans="1:19" ht="33.75" x14ac:dyDescent="0.2">
      <c r="B22" s="241">
        <v>1999</v>
      </c>
      <c r="C22" s="71" t="s">
        <v>105</v>
      </c>
      <c r="D22" s="65">
        <v>73107.885714285716</v>
      </c>
    </row>
    <row r="23" spans="1:19" ht="33.75" x14ac:dyDescent="0.2">
      <c r="B23" s="241"/>
      <c r="C23" s="71" t="s">
        <v>106</v>
      </c>
      <c r="D23" s="65">
        <v>160000</v>
      </c>
    </row>
    <row r="24" spans="1:19" ht="22.5" x14ac:dyDescent="0.2">
      <c r="B24" s="241"/>
      <c r="C24" s="71" t="s">
        <v>107</v>
      </c>
      <c r="D24" s="65">
        <v>485714.29</v>
      </c>
    </row>
    <row r="25" spans="1:19" s="8" customFormat="1" ht="16.5" customHeight="1" x14ac:dyDescent="0.2">
      <c r="A25" s="6"/>
      <c r="B25" s="72"/>
      <c r="C25" s="73" t="s">
        <v>30</v>
      </c>
      <c r="D25" s="79">
        <f>SUM(D22:D24)</f>
        <v>718822.17571428569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</sheetData>
  <sheetProtection password="C96C" sheet="1" objects="1" scenarios="1" selectLockedCells="1" selectUnlockedCells="1"/>
  <mergeCells count="22">
    <mergeCell ref="B22:B24"/>
    <mergeCell ref="F4:F5"/>
    <mergeCell ref="O4:P4"/>
    <mergeCell ref="Q4:Q5"/>
    <mergeCell ref="E4:E5"/>
    <mergeCell ref="G4:G5"/>
    <mergeCell ref="M4:M5"/>
    <mergeCell ref="L4:L5"/>
    <mergeCell ref="B19:S19"/>
    <mergeCell ref="H4:H5"/>
    <mergeCell ref="I4:I5"/>
    <mergeCell ref="J4:J5"/>
    <mergeCell ref="K4:K5"/>
    <mergeCell ref="C4:C5"/>
    <mergeCell ref="D4:D5"/>
    <mergeCell ref="S4:S5"/>
    <mergeCell ref="B1:S1"/>
    <mergeCell ref="A2:S2"/>
    <mergeCell ref="B3:S3"/>
    <mergeCell ref="A4:A5"/>
    <mergeCell ref="B4:B5"/>
    <mergeCell ref="R4:R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75" zoomScaleSheetLayoutView="75" workbookViewId="0">
      <selection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7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7"/>
      <c r="O5" s="12" t="s">
        <v>37</v>
      </c>
      <c r="P5" s="89" t="s">
        <v>38</v>
      </c>
      <c r="Q5" s="245"/>
      <c r="R5" s="240"/>
      <c r="S5" s="240"/>
    </row>
    <row r="6" spans="1:19" ht="18" customHeight="1" x14ac:dyDescent="0.2">
      <c r="A6" s="13">
        <v>2000</v>
      </c>
      <c r="B6" s="13" t="s">
        <v>7</v>
      </c>
      <c r="C6" s="14" t="s">
        <v>8</v>
      </c>
      <c r="D6" s="15">
        <v>347098.29</v>
      </c>
      <c r="E6" s="15"/>
      <c r="F6" s="15">
        <v>148274.29</v>
      </c>
      <c r="G6" s="15">
        <v>2635.43</v>
      </c>
      <c r="H6" s="15"/>
      <c r="I6" s="15"/>
      <c r="J6" s="15">
        <f t="shared" ref="J6:J11" si="0">SUM(F6:G6)</f>
        <v>150909.72</v>
      </c>
      <c r="K6" s="15"/>
      <c r="L6" s="15">
        <v>54285.71</v>
      </c>
      <c r="M6" s="16">
        <f t="shared" ref="M6:M12" si="1">SUM(D6,J6,L6)</f>
        <v>552293.72</v>
      </c>
      <c r="N6" s="15"/>
      <c r="O6" s="15"/>
      <c r="P6" s="15"/>
      <c r="Q6" s="16">
        <f>SUM(O6:P6)</f>
        <v>0</v>
      </c>
      <c r="R6" s="15"/>
      <c r="S6" s="17">
        <f>SUM(D6,J6,L6,Q6)</f>
        <v>552293.72</v>
      </c>
    </row>
    <row r="7" spans="1:19" ht="18" customHeight="1" x14ac:dyDescent="0.2">
      <c r="A7" s="13"/>
      <c r="B7" s="13" t="s">
        <v>9</v>
      </c>
      <c r="C7" s="14" t="s">
        <v>12</v>
      </c>
      <c r="D7" s="15">
        <v>777168</v>
      </c>
      <c r="E7" s="15"/>
      <c r="F7" s="15">
        <v>301490.28000000003</v>
      </c>
      <c r="G7" s="15">
        <v>8540.57</v>
      </c>
      <c r="H7" s="15"/>
      <c r="I7" s="15"/>
      <c r="J7" s="15">
        <f t="shared" si="0"/>
        <v>310030.85000000003</v>
      </c>
      <c r="K7" s="15"/>
      <c r="L7" s="15">
        <v>37142.86</v>
      </c>
      <c r="M7" s="16">
        <f t="shared" si="1"/>
        <v>1124341.7100000002</v>
      </c>
      <c r="N7" s="15"/>
      <c r="O7" s="15"/>
      <c r="P7" s="15"/>
      <c r="Q7" s="16">
        <f>SUM(O7:P7)</f>
        <v>0</v>
      </c>
      <c r="R7" s="15"/>
      <c r="S7" s="17">
        <f>SUM(D7,J7,L7,Q7)</f>
        <v>1124341.7100000002</v>
      </c>
    </row>
    <row r="8" spans="1:19" s="8" customFormat="1" ht="18" customHeight="1" x14ac:dyDescent="0.2">
      <c r="A8" s="35"/>
      <c r="B8" s="35"/>
      <c r="C8" s="37" t="s">
        <v>44</v>
      </c>
      <c r="D8" s="38">
        <f>SUM(D6:D7)</f>
        <v>1124266.29</v>
      </c>
      <c r="E8" s="38"/>
      <c r="F8" s="38">
        <f t="shared" ref="F8:S8" si="2">SUM(F6:F7)</f>
        <v>449764.57000000007</v>
      </c>
      <c r="G8" s="38">
        <f t="shared" si="2"/>
        <v>11176</v>
      </c>
      <c r="H8" s="38"/>
      <c r="I8" s="38"/>
      <c r="J8" s="38">
        <f t="shared" si="2"/>
        <v>460940.57000000007</v>
      </c>
      <c r="K8" s="38"/>
      <c r="L8" s="38">
        <f t="shared" si="2"/>
        <v>91428.57</v>
      </c>
      <c r="M8" s="22">
        <f t="shared" si="1"/>
        <v>1676635.4300000002</v>
      </c>
      <c r="N8" s="38"/>
      <c r="O8" s="38">
        <f t="shared" si="2"/>
        <v>0</v>
      </c>
      <c r="P8" s="38">
        <f t="shared" si="2"/>
        <v>0</v>
      </c>
      <c r="Q8" s="22">
        <f t="shared" si="2"/>
        <v>0</v>
      </c>
      <c r="R8" s="38"/>
      <c r="S8" s="38">
        <f t="shared" si="2"/>
        <v>1676635.4300000002</v>
      </c>
    </row>
    <row r="9" spans="1:19" ht="36" customHeight="1" x14ac:dyDescent="0.2">
      <c r="A9" s="13"/>
      <c r="B9" s="13" t="s">
        <v>10</v>
      </c>
      <c r="C9" s="14" t="s">
        <v>14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ht="18" customHeight="1" x14ac:dyDescent="0.2">
      <c r="A10" s="13"/>
      <c r="B10" s="13"/>
      <c r="C10" s="14" t="s">
        <v>15</v>
      </c>
      <c r="D10" s="15"/>
      <c r="E10" s="15"/>
      <c r="F10" s="15"/>
      <c r="G10" s="15"/>
      <c r="H10" s="15"/>
      <c r="I10" s="15"/>
      <c r="J10" s="15">
        <f t="shared" si="0"/>
        <v>0</v>
      </c>
      <c r="K10" s="15"/>
      <c r="L10" s="15"/>
      <c r="M10" s="16">
        <f t="shared" si="1"/>
        <v>0</v>
      </c>
      <c r="N10" s="15"/>
      <c r="O10" s="15"/>
      <c r="P10" s="15">
        <v>371428.57</v>
      </c>
      <c r="Q10" s="16">
        <f>SUM(O10:P10)</f>
        <v>371428.57</v>
      </c>
      <c r="R10" s="15"/>
      <c r="S10" s="17">
        <f>SUM(D10,J10,L10,Q10)</f>
        <v>371428.57</v>
      </c>
    </row>
    <row r="11" spans="1:19" ht="18" customHeight="1" x14ac:dyDescent="0.2">
      <c r="A11" s="13"/>
      <c r="B11" s="13"/>
      <c r="C11" s="14" t="s">
        <v>16</v>
      </c>
      <c r="D11" s="15"/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6">
        <f t="shared" si="1"/>
        <v>0</v>
      </c>
      <c r="N11" s="15"/>
      <c r="O11" s="15">
        <v>114285.71</v>
      </c>
      <c r="P11" s="15"/>
      <c r="Q11" s="16">
        <f>SUM(O11:P11)</f>
        <v>114285.71</v>
      </c>
      <c r="R11" s="15"/>
      <c r="S11" s="17">
        <f>SUM(D11,J11,L11,Q11)</f>
        <v>114285.71</v>
      </c>
    </row>
    <row r="12" spans="1:19" s="8" customFormat="1" ht="18" customHeight="1" x14ac:dyDescent="0.2">
      <c r="A12" s="35"/>
      <c r="B12" s="35"/>
      <c r="C12" s="21" t="s">
        <v>52</v>
      </c>
      <c r="D12" s="42">
        <f>SUM(D8:D11)</f>
        <v>1124266.29</v>
      </c>
      <c r="E12" s="42"/>
      <c r="F12" s="42">
        <f t="shared" ref="F12:S12" si="3">SUM(F8:F11)</f>
        <v>449764.57000000007</v>
      </c>
      <c r="G12" s="42">
        <f t="shared" si="3"/>
        <v>11176</v>
      </c>
      <c r="H12" s="42"/>
      <c r="I12" s="42"/>
      <c r="J12" s="42">
        <f t="shared" si="3"/>
        <v>460940.57000000007</v>
      </c>
      <c r="K12" s="42"/>
      <c r="L12" s="42">
        <f t="shared" si="3"/>
        <v>91428.57</v>
      </c>
      <c r="M12" s="22">
        <f t="shared" si="1"/>
        <v>1676635.4300000002</v>
      </c>
      <c r="N12" s="42"/>
      <c r="O12" s="42">
        <f t="shared" si="3"/>
        <v>114285.71</v>
      </c>
      <c r="P12" s="42">
        <f t="shared" si="3"/>
        <v>371428.57</v>
      </c>
      <c r="Q12" s="22">
        <f t="shared" si="3"/>
        <v>485714.28</v>
      </c>
      <c r="R12" s="42"/>
      <c r="S12" s="42">
        <f t="shared" si="3"/>
        <v>2162349.7100000004</v>
      </c>
    </row>
    <row r="13" spans="1:19" s="28" customFormat="1" ht="18" customHeight="1" x14ac:dyDescent="0.2">
      <c r="A13" s="23"/>
      <c r="B13" s="24"/>
      <c r="C13" s="25" t="s">
        <v>53</v>
      </c>
      <c r="D13" s="26">
        <v>1028445.87</v>
      </c>
      <c r="E13" s="26"/>
      <c r="F13" s="26">
        <f>419818.85+29945.72</f>
        <v>449764.56999999995</v>
      </c>
      <c r="G13" s="26">
        <f>16522.84-5346.84</f>
        <v>11176</v>
      </c>
      <c r="H13" s="26"/>
      <c r="I13" s="26"/>
      <c r="J13" s="26">
        <f>SUM(F13:H13)</f>
        <v>460940.56999999995</v>
      </c>
      <c r="K13" s="26"/>
      <c r="L13" s="26">
        <f>430884.05-339455.48</f>
        <v>91428.57</v>
      </c>
      <c r="M13" s="27">
        <f>SUM(D13,J13,L13)</f>
        <v>1580815.01</v>
      </c>
      <c r="N13" s="26"/>
      <c r="O13" s="26">
        <f>115637.71-1352-9052.59</f>
        <v>105233.12000000001</v>
      </c>
      <c r="P13" s="26">
        <f>289529.45-289582.04+52.59</f>
        <v>3.2599700716673397E-11</v>
      </c>
      <c r="Q13" s="26">
        <f>SUM(O13:P13)</f>
        <v>105233.12000000004</v>
      </c>
      <c r="R13" s="26"/>
      <c r="S13" s="26">
        <f>SUM(M13,Q13)</f>
        <v>1686048.1300000001</v>
      </c>
    </row>
    <row r="14" spans="1:19" s="34" customFormat="1" ht="18" customHeight="1" x14ac:dyDescent="0.2">
      <c r="A14" s="29"/>
      <c r="B14" s="30"/>
      <c r="C14" s="31" t="s">
        <v>50</v>
      </c>
      <c r="D14" s="32">
        <f>D12-D13</f>
        <v>95820.420000000042</v>
      </c>
      <c r="E14" s="32"/>
      <c r="F14" s="32">
        <f>F12-F13</f>
        <v>0</v>
      </c>
      <c r="G14" s="32">
        <f>G12-G13</f>
        <v>0</v>
      </c>
      <c r="H14" s="32">
        <f>H12-H13</f>
        <v>0</v>
      </c>
      <c r="I14" s="32"/>
      <c r="J14" s="32">
        <f>J12-J13</f>
        <v>0</v>
      </c>
      <c r="K14" s="32"/>
      <c r="L14" s="32">
        <f>L12-L13</f>
        <v>0</v>
      </c>
      <c r="M14" s="33">
        <f>M12-M13</f>
        <v>95820.420000000158</v>
      </c>
      <c r="N14" s="32"/>
      <c r="O14" s="32">
        <f>O12-O13</f>
        <v>9052.5899999999965</v>
      </c>
      <c r="P14" s="32">
        <f>P12-P13</f>
        <v>371428.56999999995</v>
      </c>
      <c r="Q14" s="32">
        <f>Q12-Q13</f>
        <v>380481.16</v>
      </c>
      <c r="R14" s="32"/>
      <c r="S14" s="32">
        <f>S12-S13</f>
        <v>476301.58000000031</v>
      </c>
    </row>
    <row r="15" spans="1:19" s="48" customFormat="1" ht="18" customHeight="1" x14ac:dyDescent="0.2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</row>
    <row r="16" spans="1:19" s="8" customFormat="1" ht="12.75" customHeight="1" x14ac:dyDescent="0.2">
      <c r="A16" s="88"/>
      <c r="B16" s="88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19" ht="12.75" customHeight="1" x14ac:dyDescent="0.2">
      <c r="B17" s="59" t="s">
        <v>94</v>
      </c>
    </row>
    <row r="18" spans="2:19" s="19" customFormat="1" ht="33" customHeight="1" x14ac:dyDescent="0.2">
      <c r="B18" s="249" t="s">
        <v>95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</row>
    <row r="19" spans="2:19" s="19" customFormat="1" ht="23.25" customHeight="1" x14ac:dyDescent="0.2">
      <c r="B19" s="90" t="s">
        <v>98</v>
      </c>
      <c r="C19" s="61" t="s">
        <v>99</v>
      </c>
      <c r="D19" s="62" t="s">
        <v>100</v>
      </c>
      <c r="E19" s="2"/>
      <c r="F19" s="2"/>
      <c r="G19" s="2"/>
      <c r="H19" s="2"/>
      <c r="I19" s="2"/>
      <c r="J19" s="2"/>
      <c r="K19" s="2"/>
      <c r="L19" s="2"/>
      <c r="M19" s="58"/>
      <c r="N19" s="2"/>
      <c r="O19" s="2"/>
      <c r="P19" s="2"/>
      <c r="Q19" s="58"/>
      <c r="R19" s="2"/>
      <c r="S19" s="58"/>
    </row>
    <row r="20" spans="2:19" ht="22.5" x14ac:dyDescent="0.2">
      <c r="B20" s="91">
        <v>2000</v>
      </c>
      <c r="C20" s="71" t="s">
        <v>108</v>
      </c>
      <c r="D20" s="65">
        <v>114285.71428571429</v>
      </c>
    </row>
  </sheetData>
  <sheetProtection password="C96C" sheet="1" objects="1" scenarios="1" selectLockedCells="1" selectUnlockedCells="1"/>
  <mergeCells count="21">
    <mergeCell ref="B18:S18"/>
    <mergeCell ref="H4:H5"/>
    <mergeCell ref="I4:I5"/>
    <mergeCell ref="J4:J5"/>
    <mergeCell ref="K4:K5"/>
    <mergeCell ref="G4:G5"/>
    <mergeCell ref="M4:M5"/>
    <mergeCell ref="L4:L5"/>
    <mergeCell ref="R4:R5"/>
    <mergeCell ref="O4:P4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Q4:Q5"/>
    <mergeCell ref="S4:S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75" zoomScaleSheetLayoutView="75" workbookViewId="0">
      <selection activeCell="C17" sqref="C1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2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2001</v>
      </c>
      <c r="B6" s="13" t="s">
        <v>7</v>
      </c>
      <c r="C6" s="14" t="s">
        <v>8</v>
      </c>
      <c r="D6" s="15">
        <f>2254330/8.75</f>
        <v>257637.71428571429</v>
      </c>
      <c r="E6" s="15"/>
      <c r="F6" s="15">
        <v>143618.29</v>
      </c>
      <c r="G6" s="15">
        <v>4000</v>
      </c>
      <c r="H6" s="15"/>
      <c r="I6" s="15"/>
      <c r="J6" s="15">
        <f t="shared" ref="J6:J11" si="0">SUM(F6:G6)</f>
        <v>147618.29</v>
      </c>
      <c r="K6" s="15"/>
      <c r="L6" s="15"/>
      <c r="M6" s="16">
        <f t="shared" ref="M6:M12" si="1">SUM(D6,J6,L6)</f>
        <v>405256.0042857143</v>
      </c>
      <c r="N6" s="15"/>
      <c r="O6" s="15"/>
      <c r="P6" s="15"/>
      <c r="Q6" s="16">
        <f>SUM(O6:P6)</f>
        <v>0</v>
      </c>
      <c r="R6" s="15"/>
      <c r="S6" s="17">
        <f>SUM(D6,J6,L6,Q6)</f>
        <v>405256.0042857143</v>
      </c>
    </row>
    <row r="7" spans="1:19" ht="18" customHeight="1" x14ac:dyDescent="0.2">
      <c r="A7" s="13"/>
      <c r="B7" s="13" t="s">
        <v>17</v>
      </c>
      <c r="C7" s="14" t="s">
        <v>18</v>
      </c>
      <c r="D7" s="15">
        <f>2974790/8.75</f>
        <v>339976</v>
      </c>
      <c r="E7" s="15"/>
      <c r="F7" s="15">
        <v>221212.57</v>
      </c>
      <c r="G7" s="15">
        <v>9142.86</v>
      </c>
      <c r="H7" s="15"/>
      <c r="I7" s="15"/>
      <c r="J7" s="15">
        <f t="shared" si="0"/>
        <v>230355.43</v>
      </c>
      <c r="K7" s="15"/>
      <c r="L7" s="15">
        <f>25000/8.75</f>
        <v>2857.1428571428573</v>
      </c>
      <c r="M7" s="16">
        <f t="shared" si="1"/>
        <v>573188.57285714278</v>
      </c>
      <c r="N7" s="15"/>
      <c r="O7" s="15"/>
      <c r="P7" s="15"/>
      <c r="Q7" s="16">
        <f>SUM(O7:P7)</f>
        <v>0</v>
      </c>
      <c r="R7" s="15"/>
      <c r="S7" s="17">
        <f>SUM(D7,J7,L7,Q7)</f>
        <v>573188.57285714278</v>
      </c>
    </row>
    <row r="8" spans="1:19" ht="18" customHeight="1" x14ac:dyDescent="0.2">
      <c r="A8" s="13"/>
      <c r="B8" s="13" t="s">
        <v>19</v>
      </c>
      <c r="C8" s="14" t="s">
        <v>20</v>
      </c>
      <c r="D8" s="15">
        <f>4681610/8.75-0.01</f>
        <v>535041.13285714283</v>
      </c>
      <c r="E8" s="15"/>
      <c r="F8" s="15">
        <v>158864</v>
      </c>
      <c r="G8" s="15">
        <v>4285.71</v>
      </c>
      <c r="H8" s="15"/>
      <c r="I8" s="15"/>
      <c r="J8" s="15">
        <f t="shared" si="0"/>
        <v>163149.71</v>
      </c>
      <c r="K8" s="15"/>
      <c r="L8" s="15"/>
      <c r="M8" s="16">
        <f t="shared" si="1"/>
        <v>698190.84285714279</v>
      </c>
      <c r="N8" s="15"/>
      <c r="O8" s="15"/>
      <c r="P8" s="15"/>
      <c r="Q8" s="16">
        <f>SUM(O8:P8)</f>
        <v>0</v>
      </c>
      <c r="R8" s="15"/>
      <c r="S8" s="17">
        <f>SUM(D8,J8,L8,Q8)</f>
        <v>698190.84285714279</v>
      </c>
    </row>
    <row r="9" spans="1:19" ht="18" customHeight="1" x14ac:dyDescent="0.2">
      <c r="A9" s="13"/>
      <c r="B9" s="13" t="s">
        <v>10</v>
      </c>
      <c r="C9" s="14" t="s">
        <v>21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>
        <v>137142.85999999999</v>
      </c>
      <c r="P9" s="15">
        <v>22857.14</v>
      </c>
      <c r="Q9" s="16">
        <f>SUM(O9:P9)</f>
        <v>160000</v>
      </c>
      <c r="R9" s="15"/>
      <c r="S9" s="17">
        <f>SUM(D9,J9,L9,Q9)</f>
        <v>160000</v>
      </c>
    </row>
    <row r="10" spans="1:19" s="8" customFormat="1" ht="18" customHeight="1" x14ac:dyDescent="0.2">
      <c r="A10" s="35"/>
      <c r="B10" s="35"/>
      <c r="C10" s="37" t="s">
        <v>44</v>
      </c>
      <c r="D10" s="38">
        <f>SUM(D6:D9)</f>
        <v>1132654.847142857</v>
      </c>
      <c r="E10" s="38"/>
      <c r="F10" s="38">
        <f t="shared" ref="F10:S10" si="2">SUM(F6:F9)</f>
        <v>523694.86</v>
      </c>
      <c r="G10" s="38">
        <f t="shared" si="2"/>
        <v>17428.57</v>
      </c>
      <c r="H10" s="38"/>
      <c r="I10" s="38"/>
      <c r="J10" s="38">
        <f t="shared" si="2"/>
        <v>541123.42999999993</v>
      </c>
      <c r="K10" s="38"/>
      <c r="L10" s="38">
        <f t="shared" si="2"/>
        <v>2857.1428571428573</v>
      </c>
      <c r="M10" s="22">
        <f t="shared" si="1"/>
        <v>1676635.42</v>
      </c>
      <c r="N10" s="38"/>
      <c r="O10" s="38">
        <f t="shared" si="2"/>
        <v>137142.85999999999</v>
      </c>
      <c r="P10" s="38">
        <f t="shared" si="2"/>
        <v>22857.14</v>
      </c>
      <c r="Q10" s="22">
        <f t="shared" si="2"/>
        <v>160000</v>
      </c>
      <c r="R10" s="38"/>
      <c r="S10" s="38">
        <f t="shared" si="2"/>
        <v>1836635.42</v>
      </c>
    </row>
    <row r="11" spans="1:19" ht="18" customHeight="1" x14ac:dyDescent="0.2">
      <c r="A11" s="13"/>
      <c r="B11" s="20"/>
      <c r="C11" s="14" t="s">
        <v>29</v>
      </c>
      <c r="D11" s="15"/>
      <c r="E11" s="15"/>
      <c r="F11" s="15">
        <f>-11581</f>
        <v>-11581</v>
      </c>
      <c r="G11" s="15">
        <v>1837</v>
      </c>
      <c r="H11" s="15"/>
      <c r="I11" s="15"/>
      <c r="J11" s="15">
        <f t="shared" si="0"/>
        <v>-9744</v>
      </c>
      <c r="K11" s="15"/>
      <c r="L11" s="15">
        <v>9744</v>
      </c>
      <c r="M11" s="16">
        <f t="shared" si="1"/>
        <v>0</v>
      </c>
      <c r="N11" s="15"/>
      <c r="O11" s="15"/>
      <c r="P11" s="15"/>
      <c r="Q11" s="16">
        <f>SUM(O11:P11)</f>
        <v>0</v>
      </c>
      <c r="R11" s="15"/>
      <c r="S11" s="17">
        <f>SUM(D11,J11,L11,Q11)</f>
        <v>0</v>
      </c>
    </row>
    <row r="12" spans="1:19" s="8" customFormat="1" ht="18" customHeight="1" x14ac:dyDescent="0.2">
      <c r="A12" s="35"/>
      <c r="B12" s="36"/>
      <c r="C12" s="21" t="s">
        <v>52</v>
      </c>
      <c r="D12" s="42">
        <f>SUM(D10:D11)</f>
        <v>1132654.847142857</v>
      </c>
      <c r="E12" s="42"/>
      <c r="F12" s="42">
        <f t="shared" ref="F12:S12" si="3">SUM(F10:F11)</f>
        <v>512113.86</v>
      </c>
      <c r="G12" s="42">
        <f t="shared" si="3"/>
        <v>19265.57</v>
      </c>
      <c r="H12" s="42"/>
      <c r="I12" s="42"/>
      <c r="J12" s="42">
        <f t="shared" si="3"/>
        <v>531379.42999999993</v>
      </c>
      <c r="K12" s="42"/>
      <c r="L12" s="42">
        <f t="shared" si="3"/>
        <v>12601.142857142857</v>
      </c>
      <c r="M12" s="22">
        <f t="shared" si="1"/>
        <v>1676635.42</v>
      </c>
      <c r="N12" s="42"/>
      <c r="O12" s="42">
        <f t="shared" si="3"/>
        <v>137142.85999999999</v>
      </c>
      <c r="P12" s="42">
        <f t="shared" si="3"/>
        <v>22857.14</v>
      </c>
      <c r="Q12" s="22">
        <f t="shared" si="3"/>
        <v>160000</v>
      </c>
      <c r="R12" s="42"/>
      <c r="S12" s="42">
        <f t="shared" si="3"/>
        <v>1836635.42</v>
      </c>
    </row>
    <row r="13" spans="1:19" s="28" customFormat="1" ht="18" customHeight="1" x14ac:dyDescent="0.2">
      <c r="A13" s="23"/>
      <c r="B13" s="24"/>
      <c r="C13" s="25" t="s">
        <v>53</v>
      </c>
      <c r="D13" s="26">
        <f>1068813.3+0.85</f>
        <v>1068814.1500000001</v>
      </c>
      <c r="E13" s="26"/>
      <c r="F13" s="26">
        <f>505671.35+6442.51-7054.14</f>
        <v>505059.72</v>
      </c>
      <c r="G13" s="26">
        <f>18653.06+612.51-612.94</f>
        <v>18652.63</v>
      </c>
      <c r="H13" s="26"/>
      <c r="I13" s="26"/>
      <c r="J13" s="26">
        <f>SUM(F13:H13)</f>
        <v>523712.35</v>
      </c>
      <c r="K13" s="26"/>
      <c r="L13" s="26">
        <f>58306.41-45705.27-355.83</f>
        <v>12245.310000000007</v>
      </c>
      <c r="M13" s="27">
        <f>SUM(D13,J13,L13)</f>
        <v>1604771.81</v>
      </c>
      <c r="N13" s="26"/>
      <c r="O13" s="26">
        <f>135888.08+1254.78</f>
        <v>137142.85999999999</v>
      </c>
      <c r="P13" s="26">
        <f>13785.91+598.75+8022.06</f>
        <v>22406.720000000001</v>
      </c>
      <c r="Q13" s="26">
        <f>SUM(O13:P13)</f>
        <v>159549.57999999999</v>
      </c>
      <c r="R13" s="26"/>
      <c r="S13" s="26">
        <f>SUM(M13,Q13)</f>
        <v>1764321.3900000001</v>
      </c>
    </row>
    <row r="14" spans="1:19" s="34" customFormat="1" ht="18" customHeight="1" x14ac:dyDescent="0.2">
      <c r="A14" s="29"/>
      <c r="B14" s="30"/>
      <c r="C14" s="31" t="s">
        <v>50</v>
      </c>
      <c r="D14" s="32">
        <f>D12-D13</f>
        <v>63840.697142856894</v>
      </c>
      <c r="E14" s="32"/>
      <c r="F14" s="32">
        <f>F12-F13</f>
        <v>7054.140000000014</v>
      </c>
      <c r="G14" s="32">
        <f>G12-G13</f>
        <v>612.93999999999869</v>
      </c>
      <c r="H14" s="32">
        <f>H12-H13</f>
        <v>0</v>
      </c>
      <c r="I14" s="32"/>
      <c r="J14" s="32">
        <f>J12-J13</f>
        <v>7667.0799999999581</v>
      </c>
      <c r="K14" s="32"/>
      <c r="L14" s="32">
        <f>L12-L13</f>
        <v>355.83285714285012</v>
      </c>
      <c r="M14" s="33">
        <f>M12-M13</f>
        <v>71863.60999999987</v>
      </c>
      <c r="N14" s="32"/>
      <c r="O14" s="32">
        <f>O12-O13</f>
        <v>0</v>
      </c>
      <c r="P14" s="32">
        <f>P12-P13</f>
        <v>450.41999999999825</v>
      </c>
      <c r="Q14" s="32">
        <f>Q12-Q13</f>
        <v>450.42000000001281</v>
      </c>
      <c r="R14" s="32"/>
      <c r="S14" s="32">
        <f>S12-S13</f>
        <v>72314.029999999795</v>
      </c>
    </row>
    <row r="15" spans="1:19" s="48" customFormat="1" ht="18" customHeight="1" x14ac:dyDescent="0.2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</row>
    <row r="16" spans="1:19" s="8" customFormat="1" ht="12.75" customHeight="1" x14ac:dyDescent="0.2">
      <c r="A16" s="7"/>
      <c r="B16" s="7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s="8" customFormat="1" ht="23.25" customHeight="1" x14ac:dyDescent="0.2">
      <c r="A17" s="7"/>
      <c r="B17" s="60" t="s">
        <v>98</v>
      </c>
      <c r="C17" s="61" t="s">
        <v>121</v>
      </c>
      <c r="D17" s="62" t="s">
        <v>100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22.5" x14ac:dyDescent="0.2">
      <c r="B18" s="241">
        <v>2001</v>
      </c>
      <c r="C18" s="71" t="s">
        <v>109</v>
      </c>
      <c r="D18" s="75">
        <v>34286</v>
      </c>
    </row>
    <row r="19" spans="1:19" ht="45" x14ac:dyDescent="0.2">
      <c r="B19" s="241"/>
      <c r="C19" s="71" t="s">
        <v>110</v>
      </c>
      <c r="D19" s="75">
        <v>34286</v>
      </c>
    </row>
    <row r="20" spans="1:19" ht="22.5" x14ac:dyDescent="0.2">
      <c r="B20" s="241"/>
      <c r="C20" s="71" t="s">
        <v>111</v>
      </c>
      <c r="D20" s="75">
        <v>91428</v>
      </c>
    </row>
    <row r="21" spans="1:19" s="8" customFormat="1" ht="20.25" customHeight="1" x14ac:dyDescent="0.2">
      <c r="A21" s="6"/>
      <c r="B21" s="67"/>
      <c r="C21" s="73" t="s">
        <v>30</v>
      </c>
      <c r="D21" s="77">
        <f>SUM(D18:D20)</f>
        <v>160000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</sheetData>
  <sheetProtection password="C96C" sheet="1" objects="1" scenarios="1" selectLockedCells="1" selectUnlockedCells="1"/>
  <mergeCells count="21">
    <mergeCell ref="B18:B20"/>
    <mergeCell ref="O4:P4"/>
    <mergeCell ref="Q4:Q5"/>
    <mergeCell ref="R4:R5"/>
    <mergeCell ref="I4:I5"/>
    <mergeCell ref="J4:J5"/>
    <mergeCell ref="K4:K5"/>
    <mergeCell ref="G4:G5"/>
    <mergeCell ref="M4:M5"/>
    <mergeCell ref="L4:L5"/>
    <mergeCell ref="B1:S1"/>
    <mergeCell ref="A2:S2"/>
    <mergeCell ref="B3:S3"/>
    <mergeCell ref="A4:A5"/>
    <mergeCell ref="B4:B5"/>
    <mergeCell ref="C4:C5"/>
    <mergeCell ref="D4:D5"/>
    <mergeCell ref="E4:E5"/>
    <mergeCell ref="S4:S5"/>
    <mergeCell ref="H4:H5"/>
    <mergeCell ref="F4:F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75" zoomScaleSheetLayoutView="75" workbookViewId="0">
      <selection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9.28515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7"/>
      <c r="O5" s="12" t="s">
        <v>37</v>
      </c>
      <c r="P5" s="89" t="s">
        <v>38</v>
      </c>
      <c r="Q5" s="245"/>
      <c r="R5" s="240"/>
      <c r="S5" s="240"/>
    </row>
    <row r="6" spans="1:19" ht="18" customHeight="1" x14ac:dyDescent="0.2">
      <c r="A6" s="13">
        <v>2002</v>
      </c>
      <c r="B6" s="13" t="s">
        <v>7</v>
      </c>
      <c r="C6" s="14" t="s">
        <v>8</v>
      </c>
      <c r="D6" s="15">
        <v>266415</v>
      </c>
      <c r="E6" s="15"/>
      <c r="F6" s="15">
        <v>62660</v>
      </c>
      <c r="G6" s="15">
        <v>14900</v>
      </c>
      <c r="H6" s="15"/>
      <c r="I6" s="15"/>
      <c r="J6" s="15">
        <f>SUM(F6:G6)</f>
        <v>77560</v>
      </c>
      <c r="K6" s="15"/>
      <c r="L6" s="15"/>
      <c r="M6" s="16">
        <f t="shared" ref="M6:M11" si="0">SUM(D6,J6,L6)</f>
        <v>343975</v>
      </c>
      <c r="N6" s="15"/>
      <c r="O6" s="15"/>
      <c r="P6" s="15"/>
      <c r="Q6" s="16">
        <f>SUM(O6:P6)</f>
        <v>0</v>
      </c>
      <c r="R6" s="15"/>
      <c r="S6" s="17">
        <f>SUM(D6,J6,L6,Q6)</f>
        <v>343975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311730</v>
      </c>
      <c r="E7" s="15"/>
      <c r="F7" s="15">
        <v>131590</v>
      </c>
      <c r="G7" s="15"/>
      <c r="H7" s="15"/>
      <c r="I7" s="15"/>
      <c r="J7" s="15">
        <f>SUM(F7:G7)</f>
        <v>131590</v>
      </c>
      <c r="K7" s="15"/>
      <c r="L7" s="15">
        <v>430</v>
      </c>
      <c r="M7" s="16">
        <f t="shared" si="0"/>
        <v>443750</v>
      </c>
      <c r="N7" s="15"/>
      <c r="O7" s="15"/>
      <c r="P7" s="15"/>
      <c r="Q7" s="16">
        <f>SUM(O7:P7)</f>
        <v>0</v>
      </c>
      <c r="R7" s="15"/>
      <c r="S7" s="17">
        <f>SUM(D7,J7,L7,Q7)</f>
        <v>443750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529155</v>
      </c>
      <c r="E8" s="15"/>
      <c r="F8" s="15">
        <v>106425</v>
      </c>
      <c r="G8" s="15">
        <v>1650</v>
      </c>
      <c r="H8" s="15"/>
      <c r="I8" s="15"/>
      <c r="J8" s="15">
        <f>SUM(F8:G8)</f>
        <v>108075</v>
      </c>
      <c r="K8" s="15"/>
      <c r="L8" s="15">
        <v>615</v>
      </c>
      <c r="M8" s="16">
        <f t="shared" si="0"/>
        <v>637845</v>
      </c>
      <c r="N8" s="15"/>
      <c r="O8" s="15"/>
      <c r="P8" s="15"/>
      <c r="Q8" s="16">
        <f>SUM(O8:P8)</f>
        <v>0</v>
      </c>
      <c r="R8" s="15"/>
      <c r="S8" s="17">
        <f>SUM(D8,J8,L8,Q8)</f>
        <v>637845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1107300</v>
      </c>
      <c r="E9" s="38"/>
      <c r="F9" s="38">
        <f t="shared" ref="F9:S9" si="1">SUM(F6:F8)</f>
        <v>300675</v>
      </c>
      <c r="G9" s="38">
        <f t="shared" si="1"/>
        <v>16550</v>
      </c>
      <c r="H9" s="38"/>
      <c r="I9" s="38"/>
      <c r="J9" s="38">
        <f t="shared" si="1"/>
        <v>317225</v>
      </c>
      <c r="K9" s="38"/>
      <c r="L9" s="38">
        <f t="shared" si="1"/>
        <v>1045</v>
      </c>
      <c r="M9" s="22">
        <f t="shared" si="0"/>
        <v>1425570</v>
      </c>
      <c r="N9" s="38"/>
      <c r="O9" s="38">
        <f t="shared" si="1"/>
        <v>0</v>
      </c>
      <c r="P9" s="38">
        <f t="shared" si="1"/>
        <v>0</v>
      </c>
      <c r="Q9" s="22">
        <f t="shared" si="1"/>
        <v>0</v>
      </c>
      <c r="R9" s="38"/>
      <c r="S9" s="38">
        <f t="shared" si="1"/>
        <v>1425570</v>
      </c>
    </row>
    <row r="10" spans="1:19" ht="18" customHeight="1" x14ac:dyDescent="0.2">
      <c r="A10" s="13"/>
      <c r="B10" s="20"/>
      <c r="C10" s="14" t="s">
        <v>29</v>
      </c>
      <c r="D10" s="15">
        <v>-37942</v>
      </c>
      <c r="E10" s="15"/>
      <c r="F10" s="15">
        <f>29163</f>
        <v>29163</v>
      </c>
      <c r="G10" s="15">
        <v>-7031</v>
      </c>
      <c r="H10" s="15"/>
      <c r="I10" s="15"/>
      <c r="J10" s="15">
        <f>SUM(F10:G10)</f>
        <v>22132</v>
      </c>
      <c r="K10" s="15"/>
      <c r="L10" s="15">
        <v>15810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1069358</v>
      </c>
      <c r="E11" s="42"/>
      <c r="F11" s="42">
        <f t="shared" ref="F11:S11" si="2">SUM(F9:F10)</f>
        <v>329838</v>
      </c>
      <c r="G11" s="42">
        <f t="shared" si="2"/>
        <v>9519</v>
      </c>
      <c r="H11" s="42"/>
      <c r="I11" s="42"/>
      <c r="J11" s="42">
        <f t="shared" si="2"/>
        <v>339357</v>
      </c>
      <c r="K11" s="42"/>
      <c r="L11" s="42">
        <f t="shared" si="2"/>
        <v>16855</v>
      </c>
      <c r="M11" s="22">
        <f t="shared" si="0"/>
        <v>1425570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1425570</v>
      </c>
    </row>
    <row r="12" spans="1:19" s="28" customFormat="1" ht="18" customHeight="1" x14ac:dyDescent="0.2">
      <c r="A12" s="23"/>
      <c r="B12" s="24"/>
      <c r="C12" s="25" t="s">
        <v>53</v>
      </c>
      <c r="D12" s="26">
        <f>1054950.2-3946.74+4000-1220.22</f>
        <v>1053783.24</v>
      </c>
      <c r="E12" s="26"/>
      <c r="F12" s="26">
        <f>328621.33+1216.67-49.74</f>
        <v>329788.26</v>
      </c>
      <c r="G12" s="26">
        <f>9426.03-43.23+136.2-92.94</f>
        <v>9426.0600000000013</v>
      </c>
      <c r="H12" s="26"/>
      <c r="I12" s="26"/>
      <c r="J12" s="26">
        <f>SUM(F12:H12)</f>
        <v>339214.32</v>
      </c>
      <c r="K12" s="26"/>
      <c r="L12" s="26">
        <v>16813.990000000002</v>
      </c>
      <c r="M12" s="27">
        <f>SUM(D12,J12,L12)</f>
        <v>1409811.55</v>
      </c>
      <c r="N12" s="26"/>
      <c r="O12" s="26"/>
      <c r="P12" s="26"/>
      <c r="Q12" s="26">
        <f>SUM(O12:P12)</f>
        <v>0</v>
      </c>
      <c r="R12" s="26"/>
      <c r="S12" s="26">
        <f>SUM(M12,Q12)</f>
        <v>1409811.55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15574.760000000009</v>
      </c>
      <c r="E13" s="32"/>
      <c r="F13" s="32">
        <f>F11-F12</f>
        <v>49.739999999990687</v>
      </c>
      <c r="G13" s="32">
        <f>G11-G12</f>
        <v>92.93999999999869</v>
      </c>
      <c r="H13" s="32">
        <f>H11-H12</f>
        <v>0</v>
      </c>
      <c r="I13" s="32"/>
      <c r="J13" s="32">
        <f>J11-J12</f>
        <v>142.67999999999302</v>
      </c>
      <c r="K13" s="32"/>
      <c r="L13" s="32">
        <f>L11-L12</f>
        <v>41.009999999998399</v>
      </c>
      <c r="M13" s="33">
        <f>M11-M12</f>
        <v>15758.449999999953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15758.449999999953</v>
      </c>
    </row>
    <row r="14" spans="1:19" ht="18" customHeight="1" x14ac:dyDescent="0.2">
      <c r="A14" s="13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75" zoomScaleSheetLayoutView="75" workbookViewId="0">
      <selection activeCell="L14" sqref="L14:S14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9.140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2003</v>
      </c>
      <c r="B6" s="13" t="s">
        <v>7</v>
      </c>
      <c r="C6" s="14" t="s">
        <v>8</v>
      </c>
      <c r="D6" s="15">
        <v>260425</v>
      </c>
      <c r="E6" s="15"/>
      <c r="F6" s="15">
        <v>59710</v>
      </c>
      <c r="G6" s="15">
        <v>15050</v>
      </c>
      <c r="H6" s="15"/>
      <c r="I6" s="15"/>
      <c r="J6" s="15">
        <f>SUM(F6:G6)</f>
        <v>74760</v>
      </c>
      <c r="K6" s="15"/>
      <c r="L6" s="15"/>
      <c r="M6" s="16">
        <f t="shared" ref="M6:M11" si="0">SUM(D6,J6,L6)</f>
        <v>335185</v>
      </c>
      <c r="N6" s="15"/>
      <c r="O6" s="15"/>
      <c r="P6" s="15"/>
      <c r="Q6" s="16">
        <f>SUM(O6:P6)</f>
        <v>0</v>
      </c>
      <c r="R6" s="15"/>
      <c r="S6" s="17">
        <f>SUM(D6,J6,L6,Q6)</f>
        <v>335185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288255</v>
      </c>
      <c r="E7" s="15"/>
      <c r="F7" s="15">
        <v>104800</v>
      </c>
      <c r="G7" s="15">
        <v>1800</v>
      </c>
      <c r="H7" s="15"/>
      <c r="I7" s="15"/>
      <c r="J7" s="15">
        <f>SUM(F7:G7)</f>
        <v>106600</v>
      </c>
      <c r="K7" s="15"/>
      <c r="L7" s="15"/>
      <c r="M7" s="16">
        <f t="shared" si="0"/>
        <v>394855</v>
      </c>
      <c r="N7" s="15"/>
      <c r="O7" s="15"/>
      <c r="P7" s="15"/>
      <c r="Q7" s="16">
        <f>SUM(O7:P7)</f>
        <v>0</v>
      </c>
      <c r="R7" s="15"/>
      <c r="S7" s="17">
        <f>SUM(D7,J7,L7,Q7)</f>
        <v>394855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541505</v>
      </c>
      <c r="E8" s="15"/>
      <c r="F8" s="15">
        <v>138125</v>
      </c>
      <c r="G8" s="15">
        <v>1650</v>
      </c>
      <c r="H8" s="15"/>
      <c r="I8" s="15"/>
      <c r="J8" s="15">
        <f>SUM(F8:G8)</f>
        <v>139775</v>
      </c>
      <c r="K8" s="15"/>
      <c r="L8" s="15"/>
      <c r="M8" s="16">
        <f t="shared" si="0"/>
        <v>681280</v>
      </c>
      <c r="N8" s="15"/>
      <c r="O8" s="15"/>
      <c r="P8" s="15"/>
      <c r="Q8" s="16">
        <f>SUM(O8:P8)</f>
        <v>0</v>
      </c>
      <c r="R8" s="15"/>
      <c r="S8" s="17">
        <f>SUM(D8,J8,L8,Q8)</f>
        <v>681280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1090185</v>
      </c>
      <c r="E9" s="38"/>
      <c r="F9" s="38">
        <f t="shared" ref="F9:S9" si="1">SUM(F6:F8)</f>
        <v>302635</v>
      </c>
      <c r="G9" s="38">
        <f t="shared" si="1"/>
        <v>18500</v>
      </c>
      <c r="H9" s="38"/>
      <c r="I9" s="38"/>
      <c r="J9" s="38">
        <f t="shared" si="1"/>
        <v>321135</v>
      </c>
      <c r="K9" s="38"/>
      <c r="L9" s="38">
        <f t="shared" si="1"/>
        <v>0</v>
      </c>
      <c r="M9" s="22">
        <f t="shared" si="0"/>
        <v>1411320</v>
      </c>
      <c r="N9" s="38"/>
      <c r="O9" s="38">
        <f t="shared" si="1"/>
        <v>0</v>
      </c>
      <c r="P9" s="38">
        <f t="shared" si="1"/>
        <v>0</v>
      </c>
      <c r="Q9" s="22">
        <f t="shared" si="1"/>
        <v>0</v>
      </c>
      <c r="R9" s="38"/>
      <c r="S9" s="38">
        <f t="shared" si="1"/>
        <v>1411320</v>
      </c>
    </row>
    <row r="10" spans="1:19" ht="18" customHeight="1" x14ac:dyDescent="0.2">
      <c r="A10" s="13"/>
      <c r="B10" s="20"/>
      <c r="C10" s="14" t="s">
        <v>29</v>
      </c>
      <c r="D10" s="15">
        <v>-5298</v>
      </c>
      <c r="E10" s="15"/>
      <c r="F10" s="15">
        <v>-15424.46</v>
      </c>
      <c r="G10" s="15">
        <v>6472.46</v>
      </c>
      <c r="H10" s="15"/>
      <c r="I10" s="15"/>
      <c r="J10" s="15">
        <f>SUM(F10:G10)</f>
        <v>-8952</v>
      </c>
      <c r="K10" s="15"/>
      <c r="L10" s="15">
        <v>14250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1084887</v>
      </c>
      <c r="E11" s="42"/>
      <c r="F11" s="42">
        <f t="shared" ref="F11:S11" si="2">SUM(F9:F10)</f>
        <v>287210.53999999998</v>
      </c>
      <c r="G11" s="42">
        <f t="shared" si="2"/>
        <v>24972.46</v>
      </c>
      <c r="H11" s="42"/>
      <c r="I11" s="42"/>
      <c r="J11" s="42">
        <f t="shared" si="2"/>
        <v>312183</v>
      </c>
      <c r="K11" s="42"/>
      <c r="L11" s="42">
        <f t="shared" si="2"/>
        <v>14250</v>
      </c>
      <c r="M11" s="22">
        <f t="shared" si="0"/>
        <v>1411320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1411320</v>
      </c>
    </row>
    <row r="12" spans="1:19" s="28" customFormat="1" ht="18" customHeight="1" x14ac:dyDescent="0.2">
      <c r="A12" s="23"/>
      <c r="B12" s="24"/>
      <c r="C12" s="25" t="s">
        <v>53</v>
      </c>
      <c r="D12" s="26">
        <f>1078199.66+6687.34-5092.82-2534.99</f>
        <v>1077259.19</v>
      </c>
      <c r="E12" s="26"/>
      <c r="F12" s="26">
        <f>286373.95+836.59-2.41</f>
        <v>287208.13000000006</v>
      </c>
      <c r="G12" s="26">
        <f>24864.54+107.92-1.63</f>
        <v>24970.829999999998</v>
      </c>
      <c r="H12" s="26"/>
      <c r="I12" s="26"/>
      <c r="J12" s="26">
        <f>SUM(F12:H12)</f>
        <v>312178.96000000008</v>
      </c>
      <c r="K12" s="26"/>
      <c r="L12" s="26">
        <v>14250</v>
      </c>
      <c r="M12" s="27">
        <f>SUM(D12,J12,L12)</f>
        <v>1403688.15</v>
      </c>
      <c r="N12" s="26"/>
      <c r="O12" s="26"/>
      <c r="P12" s="26"/>
      <c r="Q12" s="26">
        <f>SUM(O12:P12)</f>
        <v>0</v>
      </c>
      <c r="R12" s="26"/>
      <c r="S12" s="26">
        <f>SUM(M12,Q12)</f>
        <v>1403688.15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7627.8100000000559</v>
      </c>
      <c r="E13" s="32"/>
      <c r="F13" s="32">
        <f>F11-F12</f>
        <v>2.409999999916181</v>
      </c>
      <c r="G13" s="32">
        <f>G11-G12</f>
        <v>1.6300000000010186</v>
      </c>
      <c r="H13" s="32">
        <f>H11-H12</f>
        <v>0</v>
      </c>
      <c r="I13" s="32"/>
      <c r="J13" s="32">
        <f>J11-J12</f>
        <v>4.0399999999208376</v>
      </c>
      <c r="K13" s="32"/>
      <c r="L13" s="32">
        <f>L11-L12</f>
        <v>0</v>
      </c>
      <c r="M13" s="33">
        <f>M11-M12</f>
        <v>7631.8500000000931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7631.8500000000931</v>
      </c>
    </row>
    <row r="14" spans="1:19" s="8" customFormat="1" ht="18" customHeight="1" x14ac:dyDescent="0.2">
      <c r="A14" s="35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s="8" customFormat="1" ht="12.75" customHeight="1" x14ac:dyDescent="0.2">
      <c r="A15" s="7"/>
      <c r="B15" s="7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s="8" customFormat="1" ht="12.75" customHeight="1" x14ac:dyDescent="0.2">
      <c r="A16" s="7"/>
      <c r="B16" s="7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3:19" ht="12.75" customHeight="1" x14ac:dyDescent="0.2"/>
    <row r="18" spans="3:19" ht="12.75" customHeight="1" x14ac:dyDescent="0.2"/>
    <row r="19" spans="3:19" ht="12.75" customHeight="1" x14ac:dyDescent="0.2"/>
    <row r="20" spans="3:19" ht="12.75" customHeight="1" x14ac:dyDescent="0.2"/>
    <row r="21" spans="3:19" s="19" customFormat="1" ht="12.75" customHeight="1" x14ac:dyDescent="0.2">
      <c r="C21" s="57"/>
      <c r="D21" s="2"/>
      <c r="E21" s="2"/>
      <c r="F21" s="2"/>
      <c r="G21" s="2"/>
      <c r="H21" s="2"/>
      <c r="I21" s="2"/>
      <c r="J21" s="2"/>
      <c r="K21" s="2"/>
      <c r="L21" s="2"/>
      <c r="M21" s="58"/>
      <c r="N21" s="2"/>
      <c r="O21" s="2"/>
      <c r="P21" s="2"/>
      <c r="Q21" s="58"/>
      <c r="R21" s="2"/>
      <c r="S21" s="58"/>
    </row>
    <row r="22" spans="3:19" s="19" customFormat="1" ht="12.75" customHeight="1" x14ac:dyDescent="0.2">
      <c r="C22" s="57"/>
      <c r="D22" s="2"/>
      <c r="E22" s="2"/>
      <c r="F22" s="2"/>
      <c r="G22" s="2"/>
      <c r="H22" s="2"/>
      <c r="I22" s="2"/>
      <c r="J22" s="2"/>
      <c r="K22" s="2"/>
      <c r="L22" s="2"/>
      <c r="M22" s="58"/>
      <c r="N22" s="2"/>
      <c r="O22" s="2"/>
      <c r="P22" s="2"/>
      <c r="Q22" s="58"/>
      <c r="R22" s="2"/>
      <c r="S22" s="5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75" zoomScaleSheetLayoutView="75" workbookViewId="0">
      <selection activeCell="D7" sqref="D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8.710937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2004</v>
      </c>
      <c r="B6" s="13" t="s">
        <v>7</v>
      </c>
      <c r="C6" s="14" t="s">
        <v>8</v>
      </c>
      <c r="D6" s="15">
        <v>266840</v>
      </c>
      <c r="E6" s="15"/>
      <c r="F6" s="15">
        <v>30775</v>
      </c>
      <c r="G6" s="15">
        <v>3350</v>
      </c>
      <c r="H6" s="15"/>
      <c r="I6" s="15"/>
      <c r="J6" s="15">
        <f>SUM(F6:G6)</f>
        <v>34125</v>
      </c>
      <c r="K6" s="15"/>
      <c r="L6" s="15"/>
      <c r="M6" s="16">
        <f t="shared" ref="M6:M11" si="0">SUM(D6,J6,L6)</f>
        <v>300965</v>
      </c>
      <c r="N6" s="15"/>
      <c r="O6" s="15"/>
      <c r="P6" s="15"/>
      <c r="Q6" s="16">
        <f>SUM(O6:P6)</f>
        <v>0</v>
      </c>
      <c r="R6" s="15"/>
      <c r="S6" s="17">
        <f>SUM(D6,J6,L6,Q6)</f>
        <v>300965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321670</v>
      </c>
      <c r="E7" s="15"/>
      <c r="F7" s="15">
        <v>44950</v>
      </c>
      <c r="G7" s="15">
        <v>2810</v>
      </c>
      <c r="H7" s="15"/>
      <c r="I7" s="15"/>
      <c r="J7" s="15">
        <f>SUM(F7:G7)</f>
        <v>47760</v>
      </c>
      <c r="K7" s="15"/>
      <c r="L7" s="15"/>
      <c r="M7" s="16">
        <f t="shared" si="0"/>
        <v>369430</v>
      </c>
      <c r="N7" s="15"/>
      <c r="O7" s="15"/>
      <c r="P7" s="15"/>
      <c r="Q7" s="16">
        <f>SUM(O7:P7)</f>
        <v>0</v>
      </c>
      <c r="R7" s="15"/>
      <c r="S7" s="17">
        <f>SUM(D7,J7,L7,Q7)</f>
        <v>369430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573710</v>
      </c>
      <c r="E8" s="15"/>
      <c r="F8" s="15">
        <v>176665</v>
      </c>
      <c r="G8" s="15">
        <v>15140</v>
      </c>
      <c r="H8" s="15"/>
      <c r="I8" s="15"/>
      <c r="J8" s="15">
        <f>SUM(F8:G8)</f>
        <v>191805</v>
      </c>
      <c r="K8" s="15"/>
      <c r="L8" s="15"/>
      <c r="M8" s="16">
        <f t="shared" si="0"/>
        <v>765515</v>
      </c>
      <c r="N8" s="15"/>
      <c r="O8" s="15"/>
      <c r="P8" s="15"/>
      <c r="Q8" s="16">
        <f>SUM(O8:P8)</f>
        <v>0</v>
      </c>
      <c r="R8" s="15"/>
      <c r="S8" s="17">
        <f>SUM(D8,J8,L8,Q8)</f>
        <v>765515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1162220</v>
      </c>
      <c r="E9" s="38"/>
      <c r="F9" s="38">
        <f t="shared" ref="F9:S9" si="1">SUM(F6:F8)</f>
        <v>252390</v>
      </c>
      <c r="G9" s="38">
        <f t="shared" si="1"/>
        <v>21300</v>
      </c>
      <c r="H9" s="38"/>
      <c r="I9" s="38"/>
      <c r="J9" s="38">
        <f t="shared" si="1"/>
        <v>273690</v>
      </c>
      <c r="K9" s="38"/>
      <c r="L9" s="38">
        <f t="shared" si="1"/>
        <v>0</v>
      </c>
      <c r="M9" s="22">
        <f t="shared" si="0"/>
        <v>1435910</v>
      </c>
      <c r="N9" s="38"/>
      <c r="O9" s="38">
        <f t="shared" si="1"/>
        <v>0</v>
      </c>
      <c r="P9" s="38">
        <f t="shared" si="1"/>
        <v>0</v>
      </c>
      <c r="Q9" s="22">
        <f>SUM(O9:P9)</f>
        <v>0</v>
      </c>
      <c r="R9" s="38"/>
      <c r="S9" s="38">
        <f t="shared" si="1"/>
        <v>1435910</v>
      </c>
    </row>
    <row r="10" spans="1:19" ht="18" customHeight="1" x14ac:dyDescent="0.2">
      <c r="A10" s="13"/>
      <c r="B10" s="20"/>
      <c r="C10" s="14" t="s">
        <v>29</v>
      </c>
      <c r="D10" s="15">
        <v>-44368.21</v>
      </c>
      <c r="E10" s="15"/>
      <c r="F10" s="15">
        <f>20902.64</f>
        <v>20902.64</v>
      </c>
      <c r="G10" s="15">
        <v>-299.43</v>
      </c>
      <c r="H10" s="15"/>
      <c r="I10" s="15"/>
      <c r="J10" s="15">
        <f>SUM(F10:G10)</f>
        <v>20603.21</v>
      </c>
      <c r="K10" s="15"/>
      <c r="L10" s="15">
        <v>23765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1117851.79</v>
      </c>
      <c r="E11" s="42"/>
      <c r="F11" s="42">
        <f t="shared" ref="F11:S11" si="2">SUM(F9:F10)</f>
        <v>273292.64</v>
      </c>
      <c r="G11" s="42">
        <f t="shared" si="2"/>
        <v>21000.57</v>
      </c>
      <c r="H11" s="42"/>
      <c r="I11" s="42"/>
      <c r="J11" s="42">
        <f t="shared" si="2"/>
        <v>294293.21000000002</v>
      </c>
      <c r="K11" s="42"/>
      <c r="L11" s="42">
        <f t="shared" si="2"/>
        <v>23765</v>
      </c>
      <c r="M11" s="22">
        <f t="shared" si="0"/>
        <v>1435910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1435910</v>
      </c>
    </row>
    <row r="12" spans="1:19" s="28" customFormat="1" ht="18" customHeight="1" x14ac:dyDescent="0.2">
      <c r="A12" s="23"/>
      <c r="B12" s="24"/>
      <c r="C12" s="25" t="s">
        <v>53</v>
      </c>
      <c r="D12" s="26">
        <f>1114514.08-479.22</f>
        <v>1114034.8600000001</v>
      </c>
      <c r="E12" s="26"/>
      <c r="F12" s="26">
        <f>272813.42+479.22</f>
        <v>273292.63999999996</v>
      </c>
      <c r="G12" s="26">
        <v>21000.57</v>
      </c>
      <c r="H12" s="26"/>
      <c r="I12" s="26"/>
      <c r="J12" s="26">
        <f>SUM(F12:H12)</f>
        <v>294293.20999999996</v>
      </c>
      <c r="K12" s="26"/>
      <c r="L12" s="26">
        <v>23765</v>
      </c>
      <c r="M12" s="27">
        <f>SUM(D12,J12,L12)</f>
        <v>1432093.07</v>
      </c>
      <c r="N12" s="26"/>
      <c r="O12" s="26"/>
      <c r="P12" s="26"/>
      <c r="Q12" s="26">
        <f>SUM(O12:P12)</f>
        <v>0</v>
      </c>
      <c r="R12" s="26"/>
      <c r="S12" s="26">
        <f>SUM(M12,Q12)</f>
        <v>1432093.07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3816.9299999999348</v>
      </c>
      <c r="E13" s="32"/>
      <c r="F13" s="32">
        <f>F11-F12</f>
        <v>0</v>
      </c>
      <c r="G13" s="32">
        <f>G11-G12</f>
        <v>0</v>
      </c>
      <c r="H13" s="32">
        <f>H11-H12</f>
        <v>0</v>
      </c>
      <c r="I13" s="32"/>
      <c r="J13" s="32">
        <f>J11-J12</f>
        <v>0</v>
      </c>
      <c r="K13" s="32"/>
      <c r="L13" s="32">
        <f>L11-L12</f>
        <v>0</v>
      </c>
      <c r="M13" s="33">
        <f>M11-M12</f>
        <v>3816.9299999999348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3816.9299999999348</v>
      </c>
    </row>
    <row r="14" spans="1:19" s="8" customFormat="1" ht="18" customHeight="1" x14ac:dyDescent="0.2">
      <c r="A14" s="35"/>
      <c r="B14" s="35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B4" zoomScaleNormal="75" zoomScaleSheetLayoutView="75" workbookViewId="0">
      <selection activeCell="L17" sqref="L17:S1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2005</v>
      </c>
      <c r="B6" s="13" t="s">
        <v>7</v>
      </c>
      <c r="C6" s="14" t="s">
        <v>8</v>
      </c>
      <c r="D6" s="15">
        <v>267230</v>
      </c>
      <c r="E6" s="15"/>
      <c r="F6" s="15">
        <f>33735</f>
        <v>33735</v>
      </c>
      <c r="G6" s="15"/>
      <c r="H6" s="15"/>
      <c r="I6" s="15"/>
      <c r="J6" s="15">
        <f t="shared" ref="J6:J13" si="0">SUM(F6:G6)</f>
        <v>33735</v>
      </c>
      <c r="K6" s="15"/>
      <c r="L6" s="15"/>
      <c r="M6" s="16">
        <f t="shared" ref="M6:M15" si="1">SUM(D6,J6,L6)</f>
        <v>300965</v>
      </c>
      <c r="N6" s="15"/>
      <c r="O6" s="15"/>
      <c r="P6" s="15"/>
      <c r="Q6" s="16">
        <f>SUM(O6:P6)</f>
        <v>0</v>
      </c>
      <c r="R6" s="15"/>
      <c r="S6" s="17">
        <f>SUM(D6,J6,L6,Q6)</f>
        <v>300965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322355</v>
      </c>
      <c r="E7" s="15"/>
      <c r="F7" s="15">
        <f>47075</f>
        <v>47075</v>
      </c>
      <c r="G7" s="15"/>
      <c r="H7" s="15"/>
      <c r="I7" s="15"/>
      <c r="J7" s="15">
        <f t="shared" si="0"/>
        <v>47075</v>
      </c>
      <c r="K7" s="15"/>
      <c r="L7" s="15"/>
      <c r="M7" s="16">
        <f t="shared" si="1"/>
        <v>369430</v>
      </c>
      <c r="N7" s="15"/>
      <c r="O7" s="15"/>
      <c r="P7" s="15"/>
      <c r="Q7" s="16">
        <f>SUM(O7:P7)</f>
        <v>0</v>
      </c>
      <c r="R7" s="15"/>
      <c r="S7" s="17">
        <f>SUM(D7,J7,L7,Q7)</f>
        <v>369430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575135</v>
      </c>
      <c r="E8" s="15"/>
      <c r="F8" s="15">
        <v>125850</v>
      </c>
      <c r="G8" s="15">
        <v>2600</v>
      </c>
      <c r="H8" s="15"/>
      <c r="I8" s="15"/>
      <c r="J8" s="15">
        <f t="shared" si="0"/>
        <v>128450</v>
      </c>
      <c r="K8" s="15"/>
      <c r="L8" s="15"/>
      <c r="M8" s="16">
        <f t="shared" si="1"/>
        <v>703585</v>
      </c>
      <c r="N8" s="15"/>
      <c r="O8" s="15"/>
      <c r="P8" s="15"/>
      <c r="Q8" s="16">
        <f>SUM(O8:P8)</f>
        <v>0</v>
      </c>
      <c r="R8" s="15"/>
      <c r="S8" s="17">
        <f>SUM(D8,J8,L8,Q8)</f>
        <v>703585</v>
      </c>
    </row>
    <row r="9" spans="1:19" ht="18" customHeight="1" x14ac:dyDescent="0.2">
      <c r="A9" s="13"/>
      <c r="B9" s="20" t="s">
        <v>26</v>
      </c>
      <c r="C9" s="14" t="s">
        <v>43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>
        <v>100</v>
      </c>
      <c r="Q9" s="16">
        <f>SUM(O9:P9)</f>
        <v>100</v>
      </c>
      <c r="R9" s="15"/>
      <c r="S9" s="17">
        <f>SUM(D9,J9,L9,Q9)</f>
        <v>100</v>
      </c>
    </row>
    <row r="10" spans="1:19" s="8" customFormat="1" ht="18" customHeight="1" x14ac:dyDescent="0.2">
      <c r="A10" s="35"/>
      <c r="B10" s="49"/>
      <c r="C10" s="37" t="s">
        <v>44</v>
      </c>
      <c r="D10" s="38">
        <f>SUM(D6:D9)</f>
        <v>1164720</v>
      </c>
      <c r="E10" s="38"/>
      <c r="F10" s="38">
        <f t="shared" ref="F10:S10" si="2">SUM(F6:F9)</f>
        <v>206660</v>
      </c>
      <c r="G10" s="38">
        <f t="shared" si="2"/>
        <v>2600</v>
      </c>
      <c r="H10" s="38"/>
      <c r="I10" s="38"/>
      <c r="J10" s="38">
        <f t="shared" si="2"/>
        <v>209260</v>
      </c>
      <c r="K10" s="38"/>
      <c r="L10" s="38">
        <f t="shared" si="2"/>
        <v>0</v>
      </c>
      <c r="M10" s="22">
        <f t="shared" si="1"/>
        <v>1373980</v>
      </c>
      <c r="N10" s="38"/>
      <c r="O10" s="38">
        <f t="shared" si="2"/>
        <v>0</v>
      </c>
      <c r="P10" s="38">
        <f t="shared" si="2"/>
        <v>100</v>
      </c>
      <c r="Q10" s="22">
        <f t="shared" si="2"/>
        <v>100</v>
      </c>
      <c r="R10" s="38"/>
      <c r="S10" s="38">
        <f t="shared" si="2"/>
        <v>1374080</v>
      </c>
    </row>
    <row r="11" spans="1:19" ht="36.75" customHeight="1" x14ac:dyDescent="0.2">
      <c r="A11" s="13"/>
      <c r="B11" s="50"/>
      <c r="C11" s="14" t="s">
        <v>65</v>
      </c>
      <c r="D11" s="15"/>
      <c r="E11" s="15"/>
      <c r="F11" s="15">
        <v>55038</v>
      </c>
      <c r="G11" s="15"/>
      <c r="H11" s="15"/>
      <c r="I11" s="15"/>
      <c r="J11" s="15">
        <f t="shared" si="0"/>
        <v>55038</v>
      </c>
      <c r="K11" s="15"/>
      <c r="L11" s="15"/>
      <c r="M11" s="16">
        <f t="shared" si="1"/>
        <v>55038</v>
      </c>
      <c r="N11" s="15"/>
      <c r="O11" s="15"/>
      <c r="P11" s="15"/>
      <c r="Q11" s="16">
        <f>SUM(O11:P11)</f>
        <v>0</v>
      </c>
      <c r="R11" s="15"/>
      <c r="S11" s="17">
        <f>SUM(D11,J11,L11,Q11)</f>
        <v>55038</v>
      </c>
    </row>
    <row r="12" spans="1:19" ht="39.75" customHeight="1" x14ac:dyDescent="0.2">
      <c r="A12" s="13"/>
      <c r="B12" s="50"/>
      <c r="C12" s="14" t="s">
        <v>66</v>
      </c>
      <c r="D12" s="15">
        <v>-5133</v>
      </c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6">
        <f t="shared" si="1"/>
        <v>-5133</v>
      </c>
      <c r="N12" s="15"/>
      <c r="O12" s="15"/>
      <c r="P12" s="15">
        <v>-100</v>
      </c>
      <c r="Q12" s="16">
        <f>SUM(O12:P12)</f>
        <v>-100</v>
      </c>
      <c r="R12" s="15"/>
      <c r="S12" s="17">
        <f>SUM(D12,J12,L12,Q12)</f>
        <v>-5233</v>
      </c>
    </row>
    <row r="13" spans="1:19" ht="18" customHeight="1" x14ac:dyDescent="0.2">
      <c r="A13" s="13"/>
      <c r="B13" s="50"/>
      <c r="C13" s="14" t="s">
        <v>29</v>
      </c>
      <c r="D13" s="15">
        <v>-48772.2</v>
      </c>
      <c r="E13" s="15"/>
      <c r="F13" s="15">
        <f>16036.61</f>
        <v>16036.61</v>
      </c>
      <c r="G13" s="15">
        <v>13513.21</v>
      </c>
      <c r="H13" s="15"/>
      <c r="I13" s="15"/>
      <c r="J13" s="15">
        <f t="shared" si="0"/>
        <v>29549.82</v>
      </c>
      <c r="K13" s="15"/>
      <c r="L13" s="15">
        <v>19222.38</v>
      </c>
      <c r="M13" s="16">
        <f t="shared" si="1"/>
        <v>0</v>
      </c>
      <c r="N13" s="15"/>
      <c r="O13" s="15"/>
      <c r="P13" s="15"/>
      <c r="Q13" s="16">
        <f>SUM(O13:P13)</f>
        <v>0</v>
      </c>
      <c r="R13" s="15"/>
      <c r="S13" s="17">
        <f>SUM(D13,J13,L13,Q13)</f>
        <v>3.637978807091713E-12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1110814.8</v>
      </c>
      <c r="E14" s="42"/>
      <c r="F14" s="42">
        <f t="shared" ref="F14:S14" si="3">SUM(F10:F13)</f>
        <v>277734.61</v>
      </c>
      <c r="G14" s="42">
        <f t="shared" si="3"/>
        <v>16113.21</v>
      </c>
      <c r="H14" s="42"/>
      <c r="I14" s="42"/>
      <c r="J14" s="42">
        <f t="shared" si="3"/>
        <v>293847.82</v>
      </c>
      <c r="K14" s="42"/>
      <c r="L14" s="42">
        <f t="shared" si="3"/>
        <v>19222.38</v>
      </c>
      <c r="M14" s="22">
        <f t="shared" si="1"/>
        <v>1423885</v>
      </c>
      <c r="N14" s="42"/>
      <c r="O14" s="42">
        <f t="shared" si="3"/>
        <v>0</v>
      </c>
      <c r="P14" s="42">
        <f t="shared" si="3"/>
        <v>0</v>
      </c>
      <c r="Q14" s="22">
        <f t="shared" si="3"/>
        <v>0</v>
      </c>
      <c r="R14" s="42"/>
      <c r="S14" s="42">
        <f t="shared" si="3"/>
        <v>1423885</v>
      </c>
    </row>
    <row r="15" spans="1:19" s="28" customFormat="1" ht="18" customHeight="1" x14ac:dyDescent="0.2">
      <c r="A15" s="23"/>
      <c r="B15" s="24"/>
      <c r="C15" s="25" t="s">
        <v>53</v>
      </c>
      <c r="D15" s="26">
        <f>1109642.25-2055.23</f>
        <v>1107587.02</v>
      </c>
      <c r="E15" s="26"/>
      <c r="F15" s="26">
        <f>275679.38+2055.23</f>
        <v>277734.61</v>
      </c>
      <c r="G15" s="26">
        <v>16113.21</v>
      </c>
      <c r="H15" s="26"/>
      <c r="I15" s="26"/>
      <c r="J15" s="26">
        <f>SUM(F15:H15)</f>
        <v>293847.82</v>
      </c>
      <c r="K15" s="26"/>
      <c r="L15" s="26">
        <v>19222.38</v>
      </c>
      <c r="M15" s="27">
        <f t="shared" si="1"/>
        <v>1420657.22</v>
      </c>
      <c r="N15" s="26"/>
      <c r="O15" s="26"/>
      <c r="P15" s="26"/>
      <c r="Q15" s="26">
        <f>SUM(O15:P15)</f>
        <v>0</v>
      </c>
      <c r="R15" s="26"/>
      <c r="S15" s="26">
        <f>SUM(M15,Q15)</f>
        <v>1420657.22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3227.7800000000279</v>
      </c>
      <c r="E16" s="32"/>
      <c r="F16" s="32">
        <f>F14-F15</f>
        <v>0</v>
      </c>
      <c r="G16" s="32">
        <f>G14-G15</f>
        <v>0</v>
      </c>
      <c r="H16" s="32">
        <f>H14-H15</f>
        <v>0</v>
      </c>
      <c r="I16" s="32"/>
      <c r="J16" s="32">
        <f>J14-J15</f>
        <v>0</v>
      </c>
      <c r="K16" s="32"/>
      <c r="L16" s="32">
        <f>L14-L15</f>
        <v>0</v>
      </c>
      <c r="M16" s="33">
        <f>M14-M15</f>
        <v>3227.7800000000279</v>
      </c>
      <c r="N16" s="32"/>
      <c r="O16" s="32">
        <f>O14-O15</f>
        <v>0</v>
      </c>
      <c r="P16" s="32">
        <f>P14-P15</f>
        <v>0</v>
      </c>
      <c r="Q16" s="32">
        <f>Q14-Q15</f>
        <v>0</v>
      </c>
      <c r="R16" s="32"/>
      <c r="S16" s="32">
        <f>S14-S15</f>
        <v>3227.7800000000279</v>
      </c>
    </row>
    <row r="17" spans="1:19" s="8" customFormat="1" ht="18" customHeight="1" x14ac:dyDescent="0.2">
      <c r="A17" s="35"/>
      <c r="B17" s="3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 customHeight="1" x14ac:dyDescent="0.2"/>
    <row r="19" spans="1:19" ht="12.75" customHeight="1" x14ac:dyDescent="0.2"/>
    <row r="20" spans="1:19" ht="12.75" customHeight="1" x14ac:dyDescent="0.2"/>
    <row r="21" spans="1:19" s="19" customFormat="1" ht="12.75" customHeight="1" x14ac:dyDescent="0.2">
      <c r="C21" s="57"/>
      <c r="D21" s="2"/>
      <c r="E21" s="2"/>
      <c r="F21" s="2"/>
      <c r="G21" s="2"/>
      <c r="H21" s="2"/>
      <c r="I21" s="2"/>
      <c r="J21" s="2"/>
      <c r="K21" s="2"/>
      <c r="L21" s="2"/>
      <c r="M21" s="58"/>
      <c r="N21" s="2"/>
      <c r="O21" s="2"/>
      <c r="P21" s="2"/>
      <c r="Q21" s="58"/>
      <c r="R21" s="2"/>
      <c r="S21" s="58"/>
    </row>
    <row r="22" spans="1:19" s="19" customFormat="1" ht="12.75" customHeight="1" x14ac:dyDescent="0.2">
      <c r="C22" s="57"/>
      <c r="D22" s="2"/>
      <c r="E22" s="2"/>
      <c r="F22" s="2"/>
      <c r="G22" s="2"/>
      <c r="H22" s="2"/>
      <c r="I22" s="2"/>
      <c r="J22" s="2"/>
      <c r="K22" s="2"/>
      <c r="L22" s="2"/>
      <c r="M22" s="58"/>
      <c r="N22" s="2"/>
      <c r="O22" s="2"/>
      <c r="P22" s="2"/>
      <c r="Q22" s="58"/>
      <c r="R22" s="2"/>
      <c r="S22" s="5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15</vt:i4>
      </vt:variant>
    </vt:vector>
  </HeadingPairs>
  <TitlesOfParts>
    <vt:vector size="35" baseType="lpstr"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'1997'!Títulos_a_imprimir</vt:lpstr>
      <vt:lpstr>'1998'!Títulos_a_imprimir</vt:lpstr>
      <vt:lpstr>'1999'!Títulos_a_imprimir</vt:lpstr>
      <vt:lpstr>'2000'!Títulos_a_imprimir</vt:lpstr>
      <vt:lpstr>'2001'!Títulos_a_imprimir</vt:lpstr>
      <vt:lpstr>'2002'!Títulos_a_imprimir</vt:lpstr>
      <vt:lpstr>'2003'!Títulos_a_imprimir</vt:lpstr>
      <vt:lpstr>'2004'!Títulos_a_imprimir</vt:lpstr>
      <vt:lpstr>'2005'!Títulos_a_imprimir</vt:lpstr>
      <vt:lpstr>'2006'!Títulos_a_imprimir</vt:lpstr>
      <vt:lpstr>'2007'!Títulos_a_imprimir</vt:lpstr>
      <vt:lpstr>'2008'!Títulos_a_imprimir</vt:lpstr>
      <vt:lpstr>'2009'!Títulos_a_imprimir</vt:lpstr>
      <vt:lpstr>'2010'!Títulos_a_imprimir</vt:lpstr>
      <vt:lpstr>'2011'!Títulos_a_imprimir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2016-04-15T20:52:30Z</cp:lastPrinted>
  <dcterms:created xsi:type="dcterms:W3CDTF">2003-10-15T13:11:38Z</dcterms:created>
  <dcterms:modified xsi:type="dcterms:W3CDTF">2016-04-15T20:52:56Z</dcterms:modified>
</cp:coreProperties>
</file>