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xl/media/image2.png" ContentType="image/png"/>
  <Override PartName="/xl/media/image1.png" ContentType="image/png"/>
  <Override PartName="/xl/_rels/workbook.xml.rels" ContentType="application/vnd.openxmlformats-package.relationships+xml"/>
  <Override PartName="/xl/drawings/drawing1.xml" ContentType="application/vnd.openxmlformats-officedocument.drawing+xml"/>
  <Override PartName="/xl/drawings/_rels/drawing2.xml.rels" ContentType="application/vnd.openxmlformats-package.relationships+xml"/>
  <Override PartName="/xl/drawings/drawing2.xml" ContentType="application/vnd.openxmlformats-officedocument.drawing+xml"/>
  <Override PartName="/xl/worksheets/sheet12.xml" ContentType="application/vnd.openxmlformats-officedocument.spreadsheetml.worksheet+xml"/>
  <Override PartName="/xl/worksheets/sheet1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sheet18.xml" ContentType="application/vnd.openxmlformats-officedocument.spreadsheetml.worksheet+xml"/>
  <Override PartName="/xl/worksheets/sheet1.xml" ContentType="application/vnd.openxmlformats-officedocument.spreadsheetml.worksheet+xml"/>
  <Override PartName="/xl/worksheets/sheet4.xml" ContentType="application/vnd.openxmlformats-officedocument.spreadsheetml.worksheet+xml"/>
  <Override PartName="/xl/worksheets/sheet22.xml" ContentType="application/vnd.openxmlformats-officedocument.spreadsheetml.worksheet+xml"/>
  <Override PartName="/xl/worksheets/sheet7.xml" ContentType="application/vnd.openxmlformats-officedocument.spreadsheetml.worksheet+xml"/>
  <Override PartName="/xl/worksheets/sheet25.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7.xml" ContentType="application/vnd.openxmlformats-officedocument.spreadsheetml.worksheet+xml"/>
  <Override PartName="/xl/worksheets/sheet3.xml" ContentType="application/vnd.openxmlformats-officedocument.spreadsheetml.worksheet+xml"/>
  <Override PartName="/xl/worksheets/sheet21.xml" ContentType="application/vnd.openxmlformats-officedocument.spreadsheetml.worksheet+xml"/>
  <Override PartName="/xl/worksheets/sheet6.xml" ContentType="application/vnd.openxmlformats-officedocument.spreadsheetml.worksheet+xml"/>
  <Override PartName="/xl/worksheets/sheet24.xml" ContentType="application/vnd.openxmlformats-officedocument.spreadsheetml.worksheet+xml"/>
  <Override PartName="/xl/worksheets/sheet9.xml" ContentType="application/vnd.openxmlformats-officedocument.spreadsheetml.worksheet+xml"/>
  <Override PartName="/xl/worksheets/sheet27.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16.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5.xml" ContentType="application/vnd.openxmlformats-officedocument.spreadsheetml.worksheet+xml"/>
  <Override PartName="/xl/worksheets/sheet23.xml" ContentType="application/vnd.openxmlformats-officedocument.spreadsheetml.worksheet+xml"/>
  <Override PartName="/xl/worksheets/sheet8.xml" ContentType="application/vnd.openxmlformats-officedocument.spreadsheetml.worksheet+xml"/>
  <Override PartName="/xl/worksheets/sheet26.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6" firstSheet="0" showHorizontalScroll="true" showSheetTabs="true" showVerticalScroll="true" tabRatio="613" windowHeight="8192" windowWidth="16384" xWindow="0" yWindow="0"/>
  </bookViews>
  <sheets>
    <sheet name="Hoja1" sheetId="1" state="visible" r:id="rId2"/>
    <sheet name="A-Informacion_General" sheetId="2" state="visible" r:id="rId3"/>
    <sheet name="B-Org._y_Func." sheetId="3" state="visible" r:id="rId4"/>
    <sheet name="C-Justificacion" sheetId="4" state="visible" r:id="rId5"/>
    <sheet name="D-Poblacion_Censo-Proyeccion" sheetId="5" state="visible" r:id="rId6"/>
    <sheet name="2_Atenciones_CapCIE_10-10" sheetId="6" state="visible" r:id="rId7"/>
    <sheet name="3_Diez_Primeras_Causas_10" sheetId="7" state="visible" r:id="rId8"/>
    <sheet name="4_Comportamiento_Produccion" sheetId="8" state="visible" r:id="rId9"/>
    <sheet name="5_Produccion_Desagregada_09_10" sheetId="9" state="visible" r:id="rId10"/>
    <sheet name="6_Prod_Scios_Intermedios_10" sheetId="10" state="visible" r:id="rId11"/>
    <sheet name="7_Prod_Scios_Grales_10" sheetId="11" state="visible" r:id="rId12"/>
    <sheet name="8_Inform_Camas_Quirof_Consul" sheetId="12" state="visible" r:id="rId13"/>
    <sheet name="9_Inform_Gral_RRHH" sheetId="13" state="visible" r:id="rId14"/>
    <sheet name="10_Distribucion_RRHH" sheetId="14" state="visible" r:id="rId15"/>
    <sheet name="11_Inform_Gral_Presupuesto" sheetId="15" state="visible" r:id="rId16"/>
    <sheet name="12_Indic_Gestion_Scios" sheetId="16" state="visible" r:id="rId17"/>
    <sheet name="13_Normas_Programacion" sheetId="17" state="visible" r:id="rId18"/>
    <sheet name="14_Produc_Rend_Cons_Cgia_10" sheetId="18" state="visible" r:id="rId19"/>
    <sheet name="15_Produc_Rendi_Hosp_10" sheetId="19" state="visible" r:id="rId20"/>
    <sheet name="16. Produc Rend Scio MD 10" sheetId="20" state="visible" r:id="rId21"/>
    <sheet name="17_Prog_Produc_2011" sheetId="21" state="visible" r:id="rId22"/>
    <sheet name="18_Prog_Scios_Intermedios" sheetId="22" state="visible" r:id="rId23"/>
    <sheet name="19_Prog_Scios_Grales" sheetId="23" state="visible" r:id="rId24"/>
    <sheet name="20_Prog_Gestion_Scios" sheetId="24" state="visible" r:id="rId25"/>
    <sheet name="E-Consolidado_Prog" sheetId="25" state="visible" r:id="rId26"/>
    <sheet name="F-Programacion_Proy_Espec" sheetId="26" state="visible" r:id="rId27"/>
    <sheet name="G-Evaluacion" sheetId="27" state="visible" r:id="rId28"/>
  </sheets>
  <definedNames>
    <definedName function="false" hidden="false" name="_xlnm.Print_Area" vbProcedure="false">18_Prog_Scios_Intermedios!$B$1:$AS$33</definedName>
    <definedName function="false" hidden="false" name="_xlnm.Print_Area_1" vbProcedure="false">19_Prog_Scios_Grales!$B$1:$X$33</definedName>
    <definedName function="false" hidden="false" name="_xlnm.Print_Area_2" vbProcedure="false">'A-Informacion_General'!$A$1:$H$170</definedName>
    <definedName function="false" hidden="false" name="_xlnm.Print_Area_3" vbProcedure="false">'B-Org._y_Func.'!$A$8:$C$26</definedName>
    <definedName function="false" hidden="false" name="_xlnm.Print_Area_4" vbProcedure="false">'D-Poblacion_Censo-Proyeccion'!$A$1:$V$54</definedName>
    <definedName function="false" hidden="false" name="_xlnm.Print_Area_5" vbProcedure="false">'E-Consolidado_Prog'!$A$1:$BS$102</definedName>
    <definedName function="false" hidden="false" name="_xlnm.Print_Area_6" vbProcedure="false">'F-Programacion_Proy_Espec'!$A$10:$T$31</definedName>
    <definedName function="false" hidden="false" name="_xlnm.Print_Area_7" vbProcedure="false">'G-Evaluacion'!$A$1:$F$31</definedName>
    <definedName function="false" hidden="false" name="egresos1" vbProcedure="false">'2_atenciones_capcie_10-10'!#ref!</definedName>
    <definedName function="false" hidden="false" name="_xlnm.Print_Titles" vbProcedure="false">18_Prog_Scios_Intermedios!$B:$C,18_Prog_Scios_Intermedios!$1:$4</definedName>
    <definedName function="false" hidden="false" name="_xlnm.Print_Titles_1" vbProcedure="false">19_Prog_Scios_Grales!$B:$C,19_Prog_Scios_Grales!$1:$4</definedName>
    <definedName function="false" hidden="false" name="_xlnm.Print_Titles_2" vbProcedure="false">'A-Informacion_General'!$1:$5</definedName>
    <definedName function="false" hidden="false" name="_xlnm.Print_Titles_3" vbProcedure="false">'B-Org._y_Func.'!$1:$7</definedName>
    <definedName function="false" hidden="false" name="_xlnm.Print_Titles_4" vbProcedure="false">'E-Consolidado_Prog'!$B:$D,'E-Consolidado_Prog'!$1:$7</definedName>
    <definedName function="false" hidden="false" name="_xlnm.Print_Titles_5" vbProcedure="false">'F-Programacion_Proy_Espec'!$1:$9</definedName>
    <definedName function="false" hidden="false" name="_xlnm.Print_Titles_6" vbProcedure="false">'G-Evaluacion'!$1:$6</definedName>
  </definedNames>
  <calcPr iterateCount="100" refMode="A1" iterate="false" iterateDelta="0.0001"/>
</workbook>
</file>

<file path=xl/sharedStrings.xml><?xml version="1.0" encoding="utf-8"?>
<sst xmlns="http://schemas.openxmlformats.org/spreadsheetml/2006/main" count="1829" uniqueCount="1000">
  <si>
    <t>HOSPITAL NACIONAL DE NIÑOS BENJAMIN BLOOM</t>
  </si>
  <si>
    <t>PLAN ANUAL OPERATIVO                                    INSTITUCIONAL                                                                            2011</t>
  </si>
  <si>
    <t>Dr. Alvaro Hugo Salgado Roldan                                                                                Director     </t>
  </si>
  <si>
    <t>Realizado por: Unidad de Planificación</t>
  </si>
  <si>
    <t>Diciembre 2011</t>
  </si>
  <si>
    <t>El Plan Anual Operativo Institucional 2011, es el documento que marca en términos generales el camino o rumbo a seguir para que el  Hospital desarrolle su gestión en el año 2012, además este PAO responde a algunos objetivos estratégicos  que se establecidos para el quinquenio 2009-2014</t>
  </si>
  <si>
    <t>MINISTERIO DE SALUD</t>
  </si>
  <si>
    <t>Plan anual operativo</t>
  </si>
  <si>
    <t>Información  General </t>
  </si>
  <si>
    <t>Año 2011</t>
  </si>
  <si>
    <t>Formulario A: Información General de la Dependencia</t>
  </si>
  <si>
    <t>1.1 Nombre de la Dependencia que programa</t>
  </si>
  <si>
    <t>Hospital Nacional de Niños Benjamin Bloom</t>
  </si>
  <si>
    <t>1.2 Instancia de la que depende</t>
  </si>
  <si>
    <t>Dirección General de Hospital del Ministerio de Salud</t>
  </si>
  <si>
    <t>1.3 Dirección</t>
  </si>
  <si>
    <t>Sobre Boulevard Los Héroes, Final 25 Av. Norte y 27 Calle Poniente, San Salvador</t>
  </si>
  <si>
    <t>1.4 Teléfono y/o Fax</t>
  </si>
  <si>
    <t>2225-4114</t>
  </si>
  <si>
    <t>1.5 E mail de contacto</t>
  </si>
  <si>
    <r>
      <t xml:space="preserve">dirección@hospitalbloom.gob.sv</t>
    </r>
    <r>
      <rPr>
        <rFont val="Arial"/>
        <charset val="1"/>
        <family val="2"/>
        <color rgb="000000FF"/>
        <sz val="10"/>
      </rPr>
      <t xml:space="preserve">  y </t>
    </r>
    <r>
      <rPr>
        <rFont val="Arial"/>
        <charset val="1"/>
        <family val="2"/>
        <color rgb="000000FF"/>
        <sz val="10"/>
        <u val="single"/>
      </rPr>
      <t xml:space="preserve">planificación@hospitalbloom.gob.sv</t>
    </r>
  </si>
  <si>
    <t>1.6 Nombre del Director(a) o Coordinador(a)</t>
  </si>
  <si>
    <t>Dr. Alvaro Hugo Salgado Roldal</t>
  </si>
  <si>
    <t>1.7 Fecha de Elaboración de los datos</t>
  </si>
  <si>
    <t>dd/mm/aaaa</t>
  </si>
  <si>
    <t>Nombre</t>
  </si>
  <si>
    <t>Número</t>
  </si>
  <si>
    <t>1.8 Departamentos, Unidades, Secciones, o bien, Centros de Responsabilidad (si ya se ha organizado según esta última modalidad) que componen la dependencia y número de empleados.</t>
  </si>
  <si>
    <t>Unidad de Auditoría Interna</t>
  </si>
  <si>
    <t>Unidad de Asesoría Jurídca</t>
  </si>
  <si>
    <t>Unidad de Planificación</t>
  </si>
  <si>
    <t>Firma y sello
Director(a) Hospital</t>
  </si>
  <si>
    <t>Departamento de Informatica</t>
  </si>
  <si>
    <t>Departamento de Información</t>
  </si>
  <si>
    <t>Sección de Estadistica</t>
  </si>
  <si>
    <t>Firma y sello
Director Nacional de Hospitales</t>
  </si>
  <si>
    <t>Sección de Documentos Médicos</t>
  </si>
  <si>
    <t>Unidad de Comunicaciones y Asistencia Social</t>
  </si>
  <si>
    <t>Servicio de Trabajo Social</t>
  </si>
  <si>
    <t>Sección de Telefonía</t>
  </si>
  <si>
    <t>Area de Citas</t>
  </si>
  <si>
    <t>Clínica Empresarial</t>
  </si>
  <si>
    <t>Unidad de Formación Profesional</t>
  </si>
  <si>
    <t>Sección  de Docencia </t>
  </si>
  <si>
    <t>Sección de Capacitación y Desarrollo</t>
  </si>
  <si>
    <t>Unidad Financiera Institucional</t>
  </si>
  <si>
    <t>Unidad Técnica de Medicamentos</t>
  </si>
  <si>
    <t>Departamento de Servicios por Contrato</t>
  </si>
  <si>
    <t>Departamento de Pediatría Social</t>
  </si>
  <si>
    <t> División Mëdica                                                                                                                                                                                                                                                                                                                                                                                                                                                                                                                                                                                                                                                            </t>
  </si>
  <si>
    <t>Departamento de Neonatología</t>
  </si>
  <si>
    <t>Departamento de Medicina Interna</t>
  </si>
  <si>
    <t>Departamento de Oncología</t>
  </si>
  <si>
    <t>Departamento de Infectología</t>
  </si>
  <si>
    <t>Departamento de Nefrología</t>
  </si>
  <si>
    <t>Departamento de Hematología</t>
  </si>
  <si>
    <t>Departamento Cuidados Intensivos</t>
  </si>
  <si>
    <t>Servicios de Cuidados Intermedios</t>
  </si>
  <si>
    <t>Departamento Cuidados Intensivos Neonatales</t>
  </si>
  <si>
    <t>Departamento de Médicina Física y Rehabilitación</t>
  </si>
  <si>
    <t>Departamento de Emergencia Mëdica</t>
  </si>
  <si>
    <t>                                                                                                                                                                       Departamento de Consulta Externa Médica</t>
  </si>
  <si>
    <t>División de Cirugía</t>
  </si>
  <si>
    <t>Departamento de Cirugía Pediatrica General</t>
  </si>
  <si>
    <t>Departamento  de Cirugía Plástica</t>
  </si>
  <si>
    <t>Departamento de Neurocirugía</t>
  </si>
  <si>
    <t>Departamento de Otorrino</t>
  </si>
  <si>
    <t>Departamento de Oftalmología</t>
  </si>
  <si>
    <t>Departamento de Ortopedia</t>
  </si>
  <si>
    <t>Departamento de Centro Quirúrgico</t>
  </si>
  <si>
    <t>Servicio de Anestesiologia</t>
  </si>
  <si>
    <t>Servicio de Cirugía Ambulatoria</t>
  </si>
  <si>
    <t>Servicio de Pequeña Cirugía</t>
  </si>
  <si>
    <t>Servicio de Esterilización (Arsenal)</t>
  </si>
  <si>
    <t>Departamento de Emergencia Quirúrgica</t>
  </si>
  <si>
    <t>Departamento de Consulta Externa Quirúrgica</t>
  </si>
  <si>
    <t>División de Enfermería</t>
  </si>
  <si>
    <t>Departamento de Supervisión y Coordinación de Enfermería</t>
  </si>
  <si>
    <t>División de Diagnóstico</t>
  </si>
  <si>
    <t>Departamento de Laboratorio Clínico</t>
  </si>
  <si>
    <t>Departamento de Banco de Sangre</t>
  </si>
  <si>
    <t>Departamento de Anatomía Patólogica</t>
  </si>
  <si>
    <t>Departamento de Imagnes Médicas</t>
  </si>
  <si>
    <t>Servicio de Radiología</t>
  </si>
  <si>
    <t>Departamento de Citogenética</t>
  </si>
  <si>
    <t>Departamento de Farmacia</t>
  </si>
  <si>
    <t>División Administrativa </t>
  </si>
  <si>
    <t>Departamento de Adquisiciones y Contrataciones</t>
  </si>
  <si>
    <t>Almacén de Medicamentos y Reactivos</t>
  </si>
  <si>
    <t>Almacén de Insumos Mëdicos</t>
  </si>
  <si>
    <t>Almacén de Insumos Diversos</t>
  </si>
  <si>
    <t>Almacén de Matriales de Mantenimiento</t>
  </si>
  <si>
    <t>Departamento de Mantenimiento</t>
  </si>
  <si>
    <t>Sección de Mecánica General</t>
  </si>
  <si>
    <t>Sección de Electromecánica</t>
  </si>
  <si>
    <t>Sección de Conservación</t>
  </si>
  <si>
    <t>Sección de Biomédica</t>
  </si>
  <si>
    <t>Departamento de Recursos Humanos</t>
  </si>
  <si>
    <t>Sección de Alimentación y Dietas</t>
  </si>
  <si>
    <t>Sección de Fórmulas</t>
  </si>
  <si>
    <t>Sección de Lavandería</t>
  </si>
  <si>
    <t>Sección de Transporte</t>
  </si>
  <si>
    <t>Sección Costurería</t>
  </si>
  <si>
    <t>Sección de Impresos y Reproducción</t>
  </si>
  <si>
    <t>Formulario B: Características de organización y funcionamiento de la dependencia</t>
  </si>
  <si>
    <t>DEPENDENCIA</t>
  </si>
  <si>
    <t>MISIÓN</t>
  </si>
  <si>
    <t>La Dirección del HNBB busca potenciar el desarrollo institucional realizando una gestión basada en valores que contribuya a lograr la satisfacción del usuario a través de la especialización de los servicios de  atención  y de los recursos humanos multisiciplinarios.   Por lo que la misión de esta dirección la consignada en el Plan Estratégico del HNNBB 2009-2014 que dice: "Somos un Hospital público de rerencia que brinda atención de salud  a la población pediátrica, a través de servicios especializados, con recursos humanos multidisciplinarios, desarrollando una gestión basada en valores que garantizan la satisfacción del usuario".</t>
  </si>
  <si>
    <t>VISIÓN</t>
  </si>
  <si>
    <t>El Hospital en respuesta al Plan de Gobierno y a las polítcas de salud, que pretenden la inversión y mejoramiento de los serviciós públicos para lograr el bien común, es unmiembro activo de las instituciones del Sector Salud y en articulación con los planes y proyectos que pretenden hacer efectiva la reforma para lograr  un sistema de salud fortalecido, integrado, eficiente, que brinda servicios de calidad y accesibles, que garantiza un plan universal de prestaciones de salud a través del aseguramiento universal y un sistema de protección social, se plante a través de esta Dirección la Visión que se consigna en el Plan Estratégico del HNNBB 2009-2014 y que se enucia así: "Convertirnos en un Hospital público de referencia lider en atención especializada que brinde servicios médicos de avanzada a la población pediátrica, basada  en la busqueda permanente del crecimiento profesinal y excelencia científica e investigativa , comprendidos con un sistema de valores que evidencie y garantice la satisfacción del usuario".</t>
  </si>
  <si>
    <t>OBJETIVO GENERAL</t>
  </si>
  <si>
    <t>Establecer una administración hospitalaria eficiente que garantice un servicio de salud de calidad y fortalezca el desarrollo institucional.</t>
  </si>
  <si>
    <t>OBJETIVOS ESPECIFICOS</t>
  </si>
  <si>
    <t>Lograr la aplicación de un sistema de control y seguimiento institucional que garantice el uso óptimo de los recursos en forma transparente y apoyado en la legislación y tecnología actualizada.</t>
  </si>
  <si>
    <t>Lograr la eficiencia y eficacia del Recurso Humano, a través de la formación y desarrollo de sus capacidades, basado en un sistema de valores que garantice la búsqueda  permanente de la excelencia</t>
  </si>
  <si>
    <t>Lograr que  la infraestructura, tecnología de vanguardia, equipamiento e insumos, sean los requeridos para el desarrollo eficiente de la atención de tercer nivel.</t>
  </si>
  <si>
    <t>Brindar atención médica especializada con apoyo en la investigación basada en evidencia, avance tecnológico y un sistema de valores, que garantice la satisfacción del usuario.</t>
  </si>
  <si>
    <t>Contar con una organización modernizada que promueva mayor eficiencia y eficacia en la gestión de los servicios de salud que brinda, basada en un sistema de valores y en constante búsqueda de la calidad.</t>
  </si>
  <si>
    <t>Lograr la eficiencia institucional a través del ordenamiento lógico de los procesos que nos permitan optimizar los recursos y mejorar la calidad de atención.</t>
  </si>
  <si>
    <t>FUNCIONES PRINCIPALES</t>
  </si>
  <si>
    <t>Proporcionar atención médica pediátrica especializada</t>
  </si>
  <si>
    <t>Promover el cumplimiento de las políticas, misión, objetivos y estrategias generales del hospital, así como las normas que deberán aplicarse en base al Plan Nacional de Salud</t>
  </si>
  <si>
    <t>Establecer mecanismos de control y evaluación de políticas y procedimientos técnico administrativos.</t>
  </si>
  <si>
    <t>Administrar, coordinar y evaluar las actividades generales del hospital.</t>
  </si>
  <si>
    <t>Estructurar e integrar los comités que requiere la institución y cumplir con aquellas funciones que le correspondan relacionados con los mismos</t>
  </si>
  <si>
    <t>Orientar y promover la educación e investigación en salud a beneficio de los usuarios.</t>
  </si>
  <si>
    <t>Impulsar programas y proyectos tendientes a mejorar la calidad del servicio</t>
  </si>
  <si>
    <t>Establecer estrategias para la obtención de los recursos humanos, físicos, financieros tecnológicos para la institución.</t>
  </si>
  <si>
    <t>Fuente: Manual de organización y Funcionamiento </t>
  </si>
  <si>
    <t>Dependencias:        Hospital Nacional de Niños Benjamin Bloom</t>
  </si>
  <si>
    <t>Formulario C: Justificación del Plan Operativo 2011</t>
  </si>
  <si>
    <r>
      <t xml:space="preserve">JUSTIFICACIÓN </t>
    </r>
    <r>
      <rPr>
        <rFont val="Arial"/>
        <charset val="1"/>
        <family val="2"/>
        <b val="true"/>
        <i val="true"/>
        <sz val="8"/>
      </rPr>
      <t xml:space="preserve">(Incluya un resumen del diagnóstico situacional actual del establecimiento de salud y su área geo-poblacional en término de indicadores de salud, etc. Debe incluir información relevante del entorno externo y del entorno interno.)</t>
    </r>
  </si>
  <si>
    <t>El HNNBB es una dependencia de la Dirección General del Hospitales del Ministerio de Salud y es  un Hospital público de referencia de tercer nivel, destinado a la atención infantil de edades de 1- 12 años y en algunas especialidades hasta los 18 años.
Con el fin de contar con un instrumento efectivo para lograr el funcionamiento óptimo del Hospital y en respuesta a la política de salud, a los lineamientos de gestión ministeriales y a las normas de control interno especificas, se presenta el siguiente Plan Anual Operativo 2011, el cual pretende ser la herramienta que servirá como el camino a seguir para el logro de los objetivos institucionales a través del cumplimiento de las actividades, programas y proyectos que se establecen para proporcionar un servicio de salud acorde a las necesidades de nuestro usuarios y a la disposición de los recursos.
</t>
  </si>
  <si>
    <t>El Hospital Bloom, es un hospital del tercer nivel de atención, donde por naturaleza deben converger patologías complejas y de alto riesgo, sin embargo, por muchos años se ha experimentado la recepción de pacientes referidos de los niveles primero y segundo de atención en salud, generada presuntamente por el debilitamiento de la capacidad de respuesta de dichos niveles de atención, y por la aplicación de inadecuadas políticas públicas que han afectado el crecimiento y desarrollo de los establecimientos de salud.</t>
  </si>
  <si>
    <t>El Plan Anual Operativo del Hospital ha sido articulado en concordancia con la estructura organizativa y constituye un elemento importante que alineado con el Plan Estratégico 2009-2014, y el presupuesto institucional da respuesta a lo esperado en beneficio de la población infantil. Esta
programación del Hospital para este año 2011, se ha desarrollado con una visión estratégica, a fin de lograr el desarrollo y la eficiencia institucional, la cual será posible si se cuenta con los apoyos necesarios y se establecen y realizan las acciones que permitan su cumplimiento,  monitoreo y retroalimentación. Es importante hacer notar que en la programación de trabajo se han incluido   actividades que están incluidas en el Plan Estratégico 2009-2014, lo que significa que el desarrollo de la gestión es tendiente al cambio que garantice el desarrollo y la eficiencia de los servicios de salud del Hospital y que contribuyan al fortalecimiento y desarrollo de un sistema de salud integrado que beneficie a los sectores más necesitados.</t>
  </si>
  <si>
    <t>La  población  de  responsabilidad  del  Hospital es de 2,351,180  de los cuales se estima que  el 47.3% son del sexo masculino y el 52.7% del sexo femenino. Relacionado estos datos,     el     Hospital  debe  ser  contextualizado   en    función  de  dar respuesta   a toda la población infantil y adolescente, tal  como lo  expresa el Reglamento  General de Hospitales, sin embargo, debido a las posibilidades (disposición de recursos) actuales del Hospital, solo se puede cubrir a los niños hasta los 12 años y en algunas especialidades hasta los 18 años. No obstante es conveniente  analizar los factores epidemiológicos y variables relacionadas que permitan definir en beneficio de toda la población infantil , la posibilidad de ampliar la cobertura de atención según rango de edad a fin de atender a todos los niños,  ya que este Hospital  es el único centro de referencia infantil en el país.
</t>
  </si>
  <si>
    <t>Al analizar los resultados del 2010 y los datos que permiten realizar el monitorio de la gestión y encontramos que en el Hospital  los diagnósticos que generan mayor promedio de días de estancia hospitalaria, son  Otros trastornos respiratorios originados en el periodo perinatal, Neumonía y las Enfermedades del apéndice, quemaduras y corrosiones, de dichas enfermedades las estancias oscilan entre 7 y 19 días de estancia hospitalarias
En cuanto a la mortalidad hospitalaria los porcentajes mayores se encuentran los diagnósticos siguientes:  Ciertas afecciones originadas en el período perinatal; Malformaciones congénitas, deformidades y anomalías cromosómicas  y Enfermedades del Sistema Nervioso.
</t>
  </si>
  <si>
    <t>En cuanto a la producción de egresos hospitalario muestra una tendencia es constante, evidenciada por el un promedio de egresos anuales que son entre 14, 500 y  15,000, los cuales muestran una estancia promedio de 6 y un índice de ocupación del 85%.  Los diagnósticos de egreso, evidencian en un porcentaje satisfactorio la calidad de dato, ya que se puede identificar la complejidad de atención de algunos servicios de atención. </t>
  </si>
  <si>
    <t>Al establecer el índice de atención de emergencia en relación a los egresos, el resultado  índica que el Hospital está atendiendo un mayor número de pacientes del estándar establecido que es del 20%, debido a que la demanda de atención en emergencia es mayor, lo cual  amerita revisión por parte del sistema de salud, ya que muchos casos de los atendidos probablemente no encontraron respuesta en otros niveles de atención.</t>
  </si>
  <si>
    <t>Al revisar la producción de los servicios intermedios y de servicios generales se evidencia que el resultado generalmente es mayor en relación a la meta, sin embargo su evaluación se vuelve complicada, ya que no se tienen estándares de uso de dichos servicios y dados a que no se cuenta con protocolos de atención no es posible evaluar que tan bien se están utilizando dichos servicios de atención.</t>
  </si>
  <si>
    <t>En relación al recurso humano, los datos establecidos solo nos permiten conocer la composición del recurso humano y la distribución del tiempo de trabajo, sin embargo debido a la naturaleza del Hospital para establecer soluciones factibles en relación la recurso humanos consideramos que es necesario evaluar indicadores como el ausentismo laboral y las causas que lo provocan.</t>
  </si>
  <si>
    <t>Al construir la información y  analizar los resultados se pudo identificar deficiencias en los procesos de generación y construcción de información, la actitud del recurso humano, la distribución de la carga laboral,  la capacidad de respuesta a los usuarios; así como la falta de herramientas que permitan agilizar los procesos y es por tal razón que estas situaciones identificadas justifican la importancia de elaborar este proceso de generación de Plan Operativo que se constituye en una herramienta para evaluar la gestión y desarrollarla en beneficios de la población infantil. </t>
  </si>
  <si>
    <t>Fuente: Diagnóstico de Situación de Salud</t>
  </si>
  <si>
    <t>DATOS GENERALES DEL AREA GEO - POBLACIONAL DE INFLUENCIA</t>
  </si>
  <si>
    <t>DATOS DE POBLACIÓN DE NIÑEZ Y ADOLESCENCIA NIVEL NACIONAL</t>
  </si>
  <si>
    <t>estimación en base a % Censo 2007</t>
  </si>
  <si>
    <t>TOTAL</t>
  </si>
  <si>
    <t>masculino</t>
  </si>
  <si>
    <t>femenino</t>
  </si>
  <si>
    <t>NÚMERO DE NIÑOS 0 AÑOS (EQUIVALENTES A MENORES DE 1 AÑO)</t>
  </si>
  <si>
    <t>NÚMERO DE NIÑOS DE 1 AÑO</t>
  </si>
  <si>
    <t>NÚMERO DE NIÑOS DE 2 AÑOS</t>
  </si>
  <si>
    <t>NÚMERO DE NIÑOS DE 3 AÑOS</t>
  </si>
  <si>
    <t>NÚMERO DE NIÑOS DE 4 AÑOS</t>
  </si>
  <si>
    <t>NÚMERO DE NIÑOS DE 5 AÑOS</t>
  </si>
  <si>
    <t>NÚMERO DE NIÑOS DE 6 AÑOS</t>
  </si>
  <si>
    <t>NÚMERO DE NIÑOS DE 7 AÑOS</t>
  </si>
  <si>
    <t>NÚMERO DE NIÑOS DE 8 AÑOS</t>
  </si>
  <si>
    <t>NÚMERO DE NIÑOS DE 9 AÑOS</t>
  </si>
  <si>
    <t>NÚMERO DE NIÑOS DE 10 AÑOS</t>
  </si>
  <si>
    <t>NÚMERO DE NIÑOS DE 11 AÑOS</t>
  </si>
  <si>
    <t>NÚMERO DE NIÑOS DE 12 AÑOS</t>
  </si>
  <si>
    <t>NÚMERO DE NIÑOS DE 13 AÑOS</t>
  </si>
  <si>
    <t>NÚMERO DE NIÑOS DE 14 AÑOS</t>
  </si>
  <si>
    <t>NÚMERO DE NIÑOS DE 15 AÑOS</t>
  </si>
  <si>
    <t>NÚMERO DE NIÑOS DE 16 AÑOS</t>
  </si>
  <si>
    <t>NÚMERO DE NIÑOS DE 17 AÑOS</t>
  </si>
  <si>
    <t>2. Tipos de Pacientes Atendidos según Capítulos CIE 10, 2010</t>
  </si>
  <si>
    <t>Capítulo CIE10</t>
  </si>
  <si>
    <t>Nombre Capítulo CIE 10</t>
  </si>
  <si>
    <t>No. de Consultas</t>
  </si>
  <si>
    <t>% de Consultas</t>
  </si>
  <si>
    <t>No. Egresos</t>
  </si>
  <si>
    <t>No. días Estancias</t>
  </si>
  <si>
    <t>Promedio Estancia</t>
  </si>
  <si>
    <t>% Egresos</t>
  </si>
  <si>
    <t>% Estancias</t>
  </si>
  <si>
    <t>No. Muertes Hospitalarias</t>
  </si>
  <si>
    <t>% Muertos Vs. Capítulo CIE 10</t>
  </si>
  <si>
    <t>% Muertos Vs. Total</t>
  </si>
  <si>
    <t>Referidos A</t>
  </si>
  <si>
    <t>% Pacientes referidos a Otras Instituciones</t>
  </si>
  <si>
    <t>Referidos De</t>
  </si>
  <si>
    <t>% Pacientes referidos de Otras Instituciones</t>
  </si>
  <si>
    <t>Capítulo I</t>
  </si>
  <si>
    <t>Ciertas enfermedades infecciosas y parasitarias (A00-B99) </t>
  </si>
  <si>
    <t>Capítulo II</t>
  </si>
  <si>
    <t>Tumores [neoplasias] (C00-D48)</t>
  </si>
  <si>
    <t>Capítulo III</t>
  </si>
  <si>
    <t>Enfermedades de la sangre y de los órganos hematopoyéticos, y ciertos trastornos que afectan el mecanismo de la inmunidad (D50-D89)</t>
  </si>
  <si>
    <t>Capítulo IV</t>
  </si>
  <si>
    <t>Enfermedades endocrinas, nutricionales y metabólicas (E00-E90)</t>
  </si>
  <si>
    <t>Capítulo V</t>
  </si>
  <si>
    <t>Trastornos mentales y del comportamiento (F00-F99)</t>
  </si>
  <si>
    <t>Capítulo VI</t>
  </si>
  <si>
    <t>Enfermedades del sistema nervioso (G00-G99)</t>
  </si>
  <si>
    <t>Capítulo VII</t>
  </si>
  <si>
    <t>Enfermedades del ojo y sus anexos (H00-H59)</t>
  </si>
  <si>
    <t>Capítulo VIII</t>
  </si>
  <si>
    <t>Enfermedades del oído y de la apófisis mastoides (H60-H95) </t>
  </si>
  <si>
    <t>Capítulo IX</t>
  </si>
  <si>
    <t>Enfermedades del sistema circulatorio (I00-I99) </t>
  </si>
  <si>
    <t>Capítulo X</t>
  </si>
  <si>
    <t>Enfermedades del sistema respiratorio (J00-J99) </t>
  </si>
  <si>
    <t>Capítulo XI</t>
  </si>
  <si>
    <t>Enfermedades del sistema digestivo (K00-K93)</t>
  </si>
  <si>
    <t>Capítulo XII</t>
  </si>
  <si>
    <t>Enfermedades de la piel y del tejido subcutáneo (L00-L99)</t>
  </si>
  <si>
    <t>Capítulo XIII</t>
  </si>
  <si>
    <t>Enfermedades del sistema osteomuscular y del tejido conjuntivo (M00-M99)</t>
  </si>
  <si>
    <t>Capítulo XIV</t>
  </si>
  <si>
    <t>Enfermedades del sistema genitourinario (N00-N99)</t>
  </si>
  <si>
    <t>Capítulo XV</t>
  </si>
  <si>
    <t>Embarazo, parto y puerperio (O00-O99)</t>
  </si>
  <si>
    <t>Capítulo XVI</t>
  </si>
  <si>
    <t>Ciertas afecciones originadas en el período perinatal (P00-P96)</t>
  </si>
  <si>
    <t> Capítulo XVII</t>
  </si>
  <si>
    <t>Malformaciones congénitas, deformidades y anomalías cromosómicas (Q00-Q99)</t>
  </si>
  <si>
    <t> Capítulo XVIII</t>
  </si>
  <si>
    <t>Síntomas, signos y hallazgos anormales clínicos y de laboratorio, no clasificados en otra parte (R00-R99)</t>
  </si>
  <si>
    <t>Capítulo XIX</t>
  </si>
  <si>
    <t>Traumatismos, envenenamientos y algunas otras consecuencias de causas externas (S00-T98)</t>
  </si>
  <si>
    <t> Capítulo XX</t>
  </si>
  <si>
    <t>Causas externas de morbilidad y de mortalidad (V01-Y98)</t>
  </si>
  <si>
    <t> Capítulo XXI </t>
  </si>
  <si>
    <t>Factores que influyen en el estado de salud y contacto con los servicios de salud (Z00-Z99)</t>
  </si>
  <si>
    <t>Total</t>
  </si>
  <si>
    <t>Fuente de información: Sistema de morbimortalidad 2010, MSPAS. </t>
  </si>
  <si>
    <t>3.1 Diez Primeras Causas de Consulta 2010, Lista Internacional de Morbilidad</t>
  </si>
  <si>
    <t>Correlativo</t>
  </si>
  <si>
    <t>Código CIE 10</t>
  </si>
  <si>
    <t>Diagnóstico CIE 10</t>
  </si>
  <si>
    <t>No. Consultas</t>
  </si>
  <si>
    <t>% Consultas</t>
  </si>
  <si>
    <t>% Consultas Acumulado</t>
  </si>
  <si>
    <t>1</t>
  </si>
  <si>
    <t>Otras enfermedades de la nariz y de los senos nasales</t>
  </si>
  <si>
    <t>2</t>
  </si>
  <si>
    <t>Asma</t>
  </si>
  <si>
    <t>3</t>
  </si>
  <si>
    <t>Persona en contacto con los servicios de salud para investigación y examenes</t>
  </si>
  <si>
    <t>4</t>
  </si>
  <si>
    <t>Otros sintomas, signos y hallazgos anormales clinicos y de laboratorio, no clasificados en otra parte</t>
  </si>
  <si>
    <t>5</t>
  </si>
  <si>
    <t>Leucemia</t>
  </si>
  <si>
    <t>6</t>
  </si>
  <si>
    <t>Otros trastornos mentales y del comportamiento</t>
  </si>
  <si>
    <t>7</t>
  </si>
  <si>
    <t>Otras infecciones agudas de las vias respiratorias superiores</t>
  </si>
  <si>
    <t>8</t>
  </si>
  <si>
    <t>Otros trautamismo de regiones especificadas, de regiones no especificadas y multiples regiones del cuerpo</t>
  </si>
  <si>
    <t>9</t>
  </si>
  <si>
    <t>Otras enfermedades de la piel y el tejido subcutaneo</t>
  </si>
  <si>
    <t>10</t>
  </si>
  <si>
    <t>Epilepsia</t>
  </si>
  <si>
    <t>Resto de Causas</t>
  </si>
  <si>
    <t>Totales </t>
  </si>
  <si>
    <t>3.2 Diez Primeras Causas Egresos Hospitalarios 2010, Grupo CIE 10. Ordenado según Egresos</t>
  </si>
  <si>
    <t>No. Estancias</t>
  </si>
  <si>
    <t>% Egresos Acumulado</t>
  </si>
  <si>
    <t>Enfermedades del apendice</t>
  </si>
  <si>
    <t>Neumonia</t>
  </si>
  <si>
    <t>Traumatismo intracraneal</t>
  </si>
  <si>
    <t>Enfermedades cronicas de las amigdalas y adenoides</t>
  </si>
  <si>
    <t>Otras enfermedades infecciosas intestinales</t>
  </si>
  <si>
    <t>Dolor abdominal y pelvico</t>
  </si>
  <si>
    <t>Otros traumatismos de regiones especificadas, de regiones no especificadas y de multiples regiones del cuerpo</t>
  </si>
  <si>
    <t>Quemaduras y corrosiones</t>
  </si>
  <si>
    <t>Personas en contacto con los servicios de salud para procedimientos especificos y atención de la salud</t>
  </si>
  <si>
    <t>Otros trastornos respiratorios originados en el periodo perinatal</t>
  </si>
  <si>
    <t>Total Causas</t>
  </si>
  <si>
    <t>3.3 Diez Primeras Causas Egresos Hospitalarios 2010, Grupo CIE 10. Ordenado según estancias</t>
  </si>
  <si>
    <t>% Estancias Acumulado</t>
  </si>
  <si>
    <t>3.4 Diez Primeras Causas de Procedimientos Quirúrgicos 2010</t>
  </si>
  <si>
    <t>Código CIE 9  </t>
  </si>
  <si>
    <t>Nombre CIE 9</t>
  </si>
  <si>
    <t>No. Procedimientos</t>
  </si>
  <si>
    <t>% Procedimientos</t>
  </si>
  <si>
    <t>% Procedimientos Acumulado</t>
  </si>
  <si>
    <t>´47.0</t>
  </si>
  <si>
    <t>Apendiceptomia</t>
  </si>
  <si>
    <t>Amigdalectomia con adenoidectomia</t>
  </si>
  <si>
    <t>Laparatomia exploratoria</t>
  </si>
  <si>
    <t>Desbridamiento excisional de herida, infección o quemadura</t>
  </si>
  <si>
    <t>Avance de un musculo extraocular</t>
  </si>
  <si>
    <t>´02.34</t>
  </si>
  <si>
    <t>Derivación ventricular a la cavidad y organos abdominales</t>
  </si>
  <si>
    <t>Otro injerto cutaneo a otros sitios</t>
  </si>
  <si>
    <t>Cateterización venosa para dialisis renal</t>
  </si>
  <si>
    <t>Inserción de cateter intercostal para drenaje</t>
  </si>
  <si>
    <t>Otra exploración y descomprensión del canal espinal</t>
  </si>
  <si>
    <t>Resto de Procedimientos</t>
  </si>
  <si>
    <t>Total Procedimientos Quirúrgicos</t>
  </si>
  <si>
    <t>Cirugías Mayores Reportadas SEPS</t>
  </si>
  <si>
    <t>Subregistro estimado (Procedimientos)</t>
  </si>
  <si>
    <t>Porcentaje estimado subregistro</t>
  </si>
  <si>
    <t>4. Comportamiento de la Producción de Servicios, 2001 a 2010</t>
  </si>
  <si>
    <t>Tipo de Producción</t>
  </si>
  <si>
    <t>A-2001</t>
  </si>
  <si>
    <t>A-2002</t>
  </si>
  <si>
    <t>A-2003</t>
  </si>
  <si>
    <t>A-2004</t>
  </si>
  <si>
    <t>A-2005</t>
  </si>
  <si>
    <t>A-2006</t>
  </si>
  <si>
    <t>A-2007</t>
  </si>
  <si>
    <t>A-2008</t>
  </si>
  <si>
    <t>A-2009</t>
  </si>
  <si>
    <t>A-2010</t>
  </si>
  <si>
    <t>Variación 2002 / 2001</t>
  </si>
  <si>
    <t>Variación 2003 / 2002</t>
  </si>
  <si>
    <t>Variación 2004 / 2003</t>
  </si>
  <si>
    <t>Variación 2005 / 2004</t>
  </si>
  <si>
    <t>Variación 2006 / 2005</t>
  </si>
  <si>
    <t>Variación 2007 / 2006</t>
  </si>
  <si>
    <t>Variación 2008 / 2007</t>
  </si>
  <si>
    <t>Variación 2009 / 2008</t>
  </si>
  <si>
    <t>Variación 2010 / 2009</t>
  </si>
  <si>
    <t>Promedio Variación</t>
  </si>
  <si>
    <t>Consulta Ambulatoria</t>
  </si>
  <si>
    <t>Consulta Médicas</t>
  </si>
  <si>
    <t>Consultas Médicas en Emergencia</t>
  </si>
  <si>
    <t>Porcentaje Consulta Emergencias</t>
  </si>
  <si>
    <t>Consultas Odontologia</t>
  </si>
  <si>
    <t>Total Cirugías Mayores</t>
  </si>
  <si>
    <t>Cirugías mayores con hospitalización</t>
  </si>
  <si>
    <t>Cirugías mayores ambulatorias</t>
  </si>
  <si>
    <t>Cirugías Menores</t>
  </si>
  <si>
    <t>Hospitalización</t>
  </si>
  <si>
    <t>Egresos</t>
  </si>
  <si>
    <t>Estancias</t>
  </si>
  <si>
    <t>No. Camas</t>
  </si>
  <si>
    <t>Días cama disponible</t>
  </si>
  <si>
    <t>Porcentaje Ocupacional</t>
  </si>
  <si>
    <t>Giro Cama</t>
  </si>
  <si>
    <t>HOSPITAL NACIONAL DE NIÑOS BENJAMIN BLOM</t>
  </si>
  <si>
    <t>5. Producción de Servicios Finales 2009 / 2010</t>
  </si>
  <si>
    <t>Cantidad 2009</t>
  </si>
  <si>
    <t>% Tipo de Producción 2009</t>
  </si>
  <si>
    <t>Cantidad 2010</t>
  </si>
  <si>
    <t>% Tipo de Producción 2010</t>
  </si>
  <si>
    <t>Servicios Ambulatorios</t>
  </si>
  <si>
    <t>Consulta Externa Medica </t>
  </si>
  <si>
    <t>1.1.1</t>
  </si>
  <si>
    <t>Consulta General </t>
  </si>
  <si>
    <t>1.1.2</t>
  </si>
  <si>
    <t>Consulta Especializada</t>
  </si>
  <si>
    <t>1.1.2.1 </t>
  </si>
  <si>
    <t>Consultas de Especializadades Básicas</t>
  </si>
  <si>
    <t>1.1.2.1.1</t>
  </si>
  <si>
    <t>Pediatria General</t>
  </si>
  <si>
    <t>N/A</t>
  </si>
  <si>
    <t>1.1.2.1.2</t>
  </si>
  <si>
    <t>Cirugia Pediátrica General</t>
  </si>
  <si>
    <t>1.1.2.2</t>
  </si>
  <si>
    <t>Consultas de Sub Especializadades</t>
  </si>
  <si>
    <t>1.1.2.2.1</t>
  </si>
  <si>
    <t>Neonatología</t>
  </si>
  <si>
    <t>1.1.2.2.2</t>
  </si>
  <si>
    <t>Pediatria especializada</t>
  </si>
  <si>
    <t>1.1.2.2.3</t>
  </si>
  <si>
    <t>Cirugia Pediátrica Especilaizada</t>
  </si>
  <si>
    <t>1.1.3</t>
  </si>
  <si>
    <t>Consulta de Emergencia</t>
  </si>
  <si>
    <t>1.1.3.1</t>
  </si>
  <si>
    <t>Consultas de Emergencia de Medicina Interna Pediatrica</t>
  </si>
  <si>
    <t>1.1.3.2</t>
  </si>
  <si>
    <t>Consultas de Emergencia de Cirugia General Pediatrica</t>
  </si>
  <si>
    <t>Consulta Externa Odontologica</t>
  </si>
  <si>
    <t>1.2.1</t>
  </si>
  <si>
    <t>Consulta de Odontologia General</t>
  </si>
  <si>
    <t>1.2.2</t>
  </si>
  <si>
    <t>Consulta de Ortodoncia</t>
  </si>
  <si>
    <t>Procedimientos de Cirugia Menor</t>
  </si>
  <si>
    <t>Otros Procedimientos Ambulatorios</t>
  </si>
  <si>
    <t>1.4.1</t>
  </si>
  <si>
    <t>Tratamientos de Nefrología (Diálisis peritoneal)</t>
  </si>
  <si>
    <t>1.4.2</t>
  </si>
  <si>
    <t>Tratamientos de Nefrología (Hemodiálisis)</t>
  </si>
  <si>
    <t>1.4.3</t>
  </si>
  <si>
    <t>Tratamientos de Oncología </t>
  </si>
  <si>
    <t>1.4.4</t>
  </si>
  <si>
    <t>Tratamientos de Hematología</t>
  </si>
  <si>
    <t>1.4.5</t>
  </si>
  <si>
    <t>Tratamientos de Oftalmología</t>
  </si>
  <si>
    <t>1.4.6</t>
  </si>
  <si>
    <t>Cirugía Ambulatoria</t>
  </si>
  <si>
    <t>1.4.7</t>
  </si>
  <si>
    <t>Observación </t>
  </si>
  <si>
    <t>1.4.8</t>
  </si>
  <si>
    <t>Maxima urgencias</t>
  </si>
  <si>
    <t>Servicios Hospitalarios </t>
  </si>
  <si>
    <t>2.1.1</t>
  </si>
  <si>
    <t>Sub Especialidades de Medicina</t>
  </si>
  <si>
    <t>2.1.1.1</t>
  </si>
  <si>
    <t>Medicina Interna </t>
  </si>
  <si>
    <t>2.1.1.2</t>
  </si>
  <si>
    <t>Infectología</t>
  </si>
  <si>
    <t>2.1.1.3</t>
  </si>
  <si>
    <t>Nefrología</t>
  </si>
  <si>
    <t>2.1.1.4</t>
  </si>
  <si>
    <t>Hematología</t>
  </si>
  <si>
    <t>2.1.1.5</t>
  </si>
  <si>
    <t>Oncología</t>
  </si>
  <si>
    <t>2.1.1.6</t>
  </si>
  <si>
    <t>2.1.2</t>
  </si>
  <si>
    <t>Sub Especialidades de Cirugia</t>
  </si>
  <si>
    <t>2.1.2.1</t>
  </si>
  <si>
    <t>Cirugía General</t>
  </si>
  <si>
    <t>2.1.2.2</t>
  </si>
  <si>
    <t>Cirugía Plastica</t>
  </si>
  <si>
    <t>2.1.2.3</t>
  </si>
  <si>
    <t>Neurocirugía</t>
  </si>
  <si>
    <t>2.1.2.4</t>
  </si>
  <si>
    <t>Oftalmología</t>
  </si>
  <si>
    <t>2.1.2.5</t>
  </si>
  <si>
    <t>Otorrinolaringología</t>
  </si>
  <si>
    <t>2.1.2.6</t>
  </si>
  <si>
    <t>Ortopedia</t>
  </si>
  <si>
    <t>2.1.3</t>
  </si>
  <si>
    <t>Otros Servicios (Convenios / BM / ISSS)</t>
  </si>
  <si>
    <t>Centro Quirurgico (Cirugías Mayores)</t>
  </si>
  <si>
    <t>2.2.1</t>
  </si>
  <si>
    <t>Electivas para Hospitalización</t>
  </si>
  <si>
    <t>2.2.2</t>
  </si>
  <si>
    <t>Electivas Ambulatorias</t>
  </si>
  <si>
    <t>2.2.3</t>
  </si>
  <si>
    <t>De Emergencia para Hospitalización</t>
  </si>
  <si>
    <t>2.2.4</t>
  </si>
  <si>
    <t>De Emergencia Ambulatoria</t>
  </si>
  <si>
    <t>Cuidados Criticos</t>
  </si>
  <si>
    <t>2.3.1</t>
  </si>
  <si>
    <t>Unidad de Cuidados Intensivos</t>
  </si>
  <si>
    <t>2.3.2</t>
  </si>
  <si>
    <t>Unidad de Cuidados Intermedios</t>
  </si>
  <si>
    <t>2.3.3</t>
  </si>
  <si>
    <t>Unidad de Cuidados Intensivos Neonatales</t>
  </si>
  <si>
    <t>Fuente 1. Sistema de Morbimortalidad: atención ambulatoria, egresos por servicio,UCI.</t>
  </si>
  <si>
    <t>Fuente 2. Sistema Estadístico de Producción de Servicios, SEPS: Partos, cesáreas, cirugías mayores, hemodiálisis, diálisis peritoneal. </t>
  </si>
  <si>
    <t>6. Producción de Servicios Intermedios (ambulatorios, hospitalarios) de Diagnostico y Tratamiento  por Servicio Final 2010</t>
  </si>
  <si>
    <t>Servicio / procedimiento</t>
  </si>
  <si>
    <t>Unidad de Medida</t>
  </si>
  <si>
    <t>Cantidad Unidad de Medida</t>
  </si>
  <si>
    <t>% Unidad Medida</t>
  </si>
  <si>
    <t>Servicios Finales</t>
  </si>
  <si>
    <t>LABORATORIO CLINICO Y BANCO DE SANGRE</t>
  </si>
  <si>
    <t>LABORATORIO CLINICO GENERAL</t>
  </si>
  <si>
    <t>Examenes</t>
  </si>
  <si>
    <t>Producción Scio Final 2010</t>
  </si>
  <si>
    <t>LABORATORIO CLINICO ESPECIALIZADO</t>
  </si>
  <si>
    <t>BANCO DE SANGRE </t>
  </si>
  <si>
    <t>Unidades de Sangre</t>
  </si>
  <si>
    <t>DIAGNOSTICO POR IMÁGENES</t>
  </si>
  <si>
    <t>RAYOS X</t>
  </si>
  <si>
    <t>Estudios</t>
  </si>
  <si>
    <t>ULTRASONOGRAFIA</t>
  </si>
  <si>
    <t>TAC / RESONANCIA MAGNETICA</t>
  </si>
  <si>
    <t>3) OTROS ESTUDIOS DIAGNOSTICOS</t>
  </si>
  <si>
    <t>ELECTROENCEFALOGRAFIA</t>
  </si>
  <si>
    <t>ELECTROCARDIOGRAFIA</t>
  </si>
  <si>
    <t>ECOCARDIOGRAFIA</t>
  </si>
  <si>
    <t>AUDIOMETRIAS</t>
  </si>
  <si>
    <t>ANATOMIA PATOLOGICA</t>
  </si>
  <si>
    <t>FARMACIA</t>
  </si>
  <si>
    <t>MEDICAMENTOS</t>
  </si>
  <si>
    <t>Recetas Despachadas</t>
  </si>
  <si>
    <t>PREPARADOS FABRICADOS</t>
  </si>
  <si>
    <t>Preparados Fabricados</t>
  </si>
  <si>
    <t>PREPARADOS ALIMENTACION PARENTERAL</t>
  </si>
  <si>
    <t>Preparados Nparenteral</t>
  </si>
  <si>
    <t>7. Producción de Servicios Generales por Servicio Final 2010</t>
  </si>
  <si>
    <t>ALIMENTACION Y DIETAS</t>
  </si>
  <si>
    <t>ALIMENTACION </t>
  </si>
  <si>
    <t>Ración</t>
  </si>
  <si>
    <t>FORMULA ENTERAL</t>
  </si>
  <si>
    <t>Ración Enteral</t>
  </si>
  <si>
    <t>ALIMENTACION INFANTIL</t>
  </si>
  <si>
    <t>Ración Infantil</t>
  </si>
  <si>
    <t>LAVANDERIA</t>
  </si>
  <si>
    <t>Libras</t>
  </si>
  <si>
    <t>MANTENIMIENTO</t>
  </si>
  <si>
    <t>MANTENIMIENTO PREVENTIVO</t>
  </si>
  <si>
    <t># de Ordenes</t>
  </si>
  <si>
    <t>MANTENIMIENTO CORRECTIVO</t>
  </si>
  <si>
    <t>TRANSPORTE</t>
  </si>
  <si>
    <t>Kilometros</t>
  </si>
  <si>
    <t>8. Información general de camas, quirófanos y consultorios 2009 y 2010</t>
  </si>
  <si>
    <t>8.1 Dotación de camas promedio mensuales</t>
  </si>
  <si>
    <t>Servicio Hospitalización</t>
  </si>
  <si>
    <t>Año 2009</t>
  </si>
  <si>
    <t>Año 2010</t>
  </si>
  <si>
    <t>Días camas disponibles 2009</t>
  </si>
  <si>
    <t>Días camas disponibles 2010</t>
  </si>
  <si>
    <t>Variación Camas 2010 Vs. 2009</t>
  </si>
  <si>
    <t>No. Camas </t>
  </si>
  <si>
    <t>% Camas </t>
  </si>
  <si>
    <t>Camas Censables</t>
  </si>
  <si>
    <t>Camas No Censables</t>
  </si>
  <si>
    <t>2) Otros Sectores</t>
  </si>
  <si>
    <t>Observacion</t>
  </si>
  <si>
    <t>Procedimientos Ambulatorios</t>
  </si>
  <si>
    <t>Otros</t>
  </si>
  <si>
    <t>8.2 Dotación de Quirófanos</t>
  </si>
  <si>
    <t>Concepto</t>
  </si>
  <si>
    <t>Existentes</t>
  </si>
  <si>
    <t>Funcionando</t>
  </si>
  <si>
    <t>% Funcionando</t>
  </si>
  <si>
    <t>No. total de horas diarias programadas para Cirugía Electiva</t>
  </si>
  <si>
    <t>No. total de horas diarias disponibles para cirugía de emergencia</t>
  </si>
  <si>
    <t>Quirófano General</t>
  </si>
  <si>
    <t>-</t>
  </si>
  <si>
    <t>Quirófano Emergencias</t>
  </si>
  <si>
    <t>Total Quirófanos</t>
  </si>
  <si>
    <t>8.3 Dotación de Consultorios Médicos.</t>
  </si>
  <si>
    <t>Promedio de horas de utilización de consultorios 2009</t>
  </si>
  <si>
    <t>Promedio de horas de utilización de consultorios 2010</t>
  </si>
  <si>
    <t>No. total horas diarias utilización real de consultorios funcionando</t>
  </si>
  <si>
    <t>Consultorios Médicos especialidades</t>
  </si>
  <si>
    <t>9. Recurso Humano Hospital a Diciembre 31 de 2010</t>
  </si>
  <si>
    <t>Plazas según nombramiento</t>
  </si>
  <si>
    <t>No. de Plazas y Horas Disponibles</t>
  </si>
  <si>
    <t>Porcentaje Plazas y Horas</t>
  </si>
  <si>
    <t>No. Plazas -GOES</t>
  </si>
  <si>
    <t>No. Horas Día -GOES</t>
  </si>
  <si>
    <t>No. Plazas -OTROS</t>
  </si>
  <si>
    <t>No. Horas Día -Plazas OTROS</t>
  </si>
  <si>
    <r>
      <t xml:space="preserve">No. Plazas - </t>
    </r>
    <r>
      <rPr>
        <rFont val="Calibri"/>
        <charset val="1"/>
        <family val="2"/>
        <b val="true"/>
        <i val="true"/>
        <sz val="10"/>
      </rPr>
      <t xml:space="preserve">Ad honorem</t>
    </r>
  </si>
  <si>
    <r>
      <t xml:space="preserve">No. Horas Día - Plazas </t>
    </r>
    <r>
      <rPr>
        <rFont val="Calibri"/>
        <charset val="1"/>
        <family val="2"/>
        <b val="true"/>
        <i val="true"/>
        <sz val="10"/>
      </rPr>
      <t xml:space="preserve">Ad honorem</t>
    </r>
  </si>
  <si>
    <t>Total Plazas Hospital</t>
  </si>
  <si>
    <t>Total Horas Día Hospital</t>
  </si>
  <si>
    <t>Total Horas Anuales Hospital</t>
  </si>
  <si>
    <t>% Plazas GOES</t>
  </si>
  <si>
    <t>% Horas Día GOES</t>
  </si>
  <si>
    <t>Promedio Horas por Plaza GOES</t>
  </si>
  <si>
    <t>% Total Plazas</t>
  </si>
  <si>
    <t>% Total Horas Día</t>
  </si>
  <si>
    <t>Promedio Horas Total Plazas</t>
  </si>
  <si>
    <t>Médicos Generales</t>
  </si>
  <si>
    <t>Pediatra</t>
  </si>
  <si>
    <t>Cirujano Pediatra General</t>
  </si>
  <si>
    <t>Sub Especialista en Medicina Pediátrica</t>
  </si>
  <si>
    <t>Sub Especialista en Cirugía Pediátrica</t>
  </si>
  <si>
    <t>Neonatologos</t>
  </si>
  <si>
    <t>Médicos Residentes</t>
  </si>
  <si>
    <t>Odontólogos</t>
  </si>
  <si>
    <t>Ortodoncistas</t>
  </si>
  <si>
    <t>Practicantes Internos</t>
  </si>
  <si>
    <t>Enfermeras</t>
  </si>
  <si>
    <t>Auxiliares de Enfermería</t>
  </si>
  <si>
    <t>Personal que labora en Farmacia</t>
  </si>
  <si>
    <t>Personal que labora en Laboratorio</t>
  </si>
  <si>
    <t>Personal que labora en Radiología</t>
  </si>
  <si>
    <t>Personal que labora en Anestesia</t>
  </si>
  <si>
    <t>Personal que labora en Terapia Física</t>
  </si>
  <si>
    <t>Personal que labora en Terapia Respiratoria</t>
  </si>
  <si>
    <t>Personal que labora en Patología</t>
  </si>
  <si>
    <t>Nutricionistas</t>
  </si>
  <si>
    <t>Psicólogos</t>
  </si>
  <si>
    <t>Personal que labora en otras áreas asistenciales</t>
  </si>
  <si>
    <t>Otros RRHH</t>
  </si>
  <si>
    <t>10. Distribución Recurso Humano disponible al 31 de diciembre de 2010, por Servicio, en un mes de 22 días laborales.</t>
  </si>
  <si>
    <t>Días Laborales al Mes</t>
  </si>
  <si>
    <t>Servicios</t>
  </si>
  <si>
    <t>Total Horas Medico Mes</t>
  </si>
  <si>
    <t>A</t>
  </si>
  <si>
    <t>Horas días Hospital</t>
  </si>
  <si>
    <t>B</t>
  </si>
  <si>
    <t>Horas por mes</t>
  </si>
  <si>
    <t>C</t>
  </si>
  <si>
    <t>Distribución horas al mes</t>
  </si>
  <si>
    <t>D</t>
  </si>
  <si>
    <t>Horas administrativas</t>
  </si>
  <si>
    <t>E</t>
  </si>
  <si>
    <t>E.1</t>
  </si>
  <si>
    <t>E.2</t>
  </si>
  <si>
    <t>E.2.1</t>
  </si>
  <si>
    <t>E.2.1.1</t>
  </si>
  <si>
    <t>E.2.1.2</t>
  </si>
  <si>
    <t>E.2.2</t>
  </si>
  <si>
    <t>E.2.2.1</t>
  </si>
  <si>
    <t>E.2.2.2</t>
  </si>
  <si>
    <t>E.2.2.3</t>
  </si>
  <si>
    <t>E.3</t>
  </si>
  <si>
    <t>E.3.1</t>
  </si>
  <si>
    <t>E.3.2</t>
  </si>
  <si>
    <t>E.4</t>
  </si>
  <si>
    <t>E.4.1</t>
  </si>
  <si>
    <t>E.4.2</t>
  </si>
  <si>
    <t>E.5</t>
  </si>
  <si>
    <t>E.6</t>
  </si>
  <si>
    <t>E.6.1</t>
  </si>
  <si>
    <t>E.6.2</t>
  </si>
  <si>
    <t>E.6.3</t>
  </si>
  <si>
    <t>E.6.4</t>
  </si>
  <si>
    <t>E.6.5</t>
  </si>
  <si>
    <t>E.6.6</t>
  </si>
  <si>
    <t>E.6.7</t>
  </si>
  <si>
    <t>E.6.8</t>
  </si>
  <si>
    <t>N/D</t>
  </si>
  <si>
    <t>F</t>
  </si>
  <si>
    <t>F.1</t>
  </si>
  <si>
    <t>F.1.1</t>
  </si>
  <si>
    <t>F.1.2</t>
  </si>
  <si>
    <t>F.1.3</t>
  </si>
  <si>
    <t>F.1.4</t>
  </si>
  <si>
    <t>F.1.5</t>
  </si>
  <si>
    <t>F.1.6</t>
  </si>
  <si>
    <t>F.2</t>
  </si>
  <si>
    <t>F.2.1</t>
  </si>
  <si>
    <t>F.2.2</t>
  </si>
  <si>
    <t>F.2.3</t>
  </si>
  <si>
    <t>F.2.4</t>
  </si>
  <si>
    <t>F.2.5</t>
  </si>
  <si>
    <t>F.2.6</t>
  </si>
  <si>
    <t>F.3</t>
  </si>
  <si>
    <t>F.5</t>
  </si>
  <si>
    <t>F.6</t>
  </si>
  <si>
    <t>F.6.1</t>
  </si>
  <si>
    <t>F.6.2</t>
  </si>
  <si>
    <t>F.6.3</t>
  </si>
  <si>
    <t>G</t>
  </si>
  <si>
    <t>Total de horas asistenciales</t>
  </si>
  <si>
    <t>H</t>
  </si>
  <si>
    <t>Verificador de distribución de horas</t>
  </si>
  <si>
    <t>I</t>
  </si>
  <si>
    <t>% de horas administrativas</t>
  </si>
  <si>
    <t>J</t>
  </si>
  <si>
    <t>% de horas asistenciales</t>
  </si>
  <si>
    <t>11. Presupuesto de Funcionamiento 2010 y 2011</t>
  </si>
  <si>
    <t>Presupuesto Votado 2010</t>
  </si>
  <si>
    <t>Presupuesto Modificado 2010</t>
  </si>
  <si>
    <t>Presupuesto Ejecutado 2010</t>
  </si>
  <si>
    <t>Porcentaje presupuesto ejecutado 2010 (Ejec vs. Mod)</t>
  </si>
  <si>
    <t>Presupuesto Votado 2011</t>
  </si>
  <si>
    <t>Presupuesto Modificado 2011</t>
  </si>
  <si>
    <t>Presupuesto Ejecutado 2011</t>
  </si>
  <si>
    <t>Variación Ppto Votado 2011 Vs Ppto Modificado 2010</t>
  </si>
  <si>
    <t>Rubros principales</t>
  </si>
  <si>
    <t>Fondos GOES</t>
  </si>
  <si>
    <t>Recursos Propios</t>
  </si>
  <si>
    <t>Presupuesto Total</t>
  </si>
  <si>
    <t>% del Rubro en el Presupuesto</t>
  </si>
  <si>
    <t>Préstamos Externos</t>
  </si>
  <si>
    <t>% Presupuesto Total</t>
  </si>
  <si>
    <t>Remuneraciones</t>
  </si>
  <si>
    <t>Medicamentos</t>
  </si>
  <si>
    <t>Insumos Médico Quirúrgicos</t>
  </si>
  <si>
    <t>Combustible y Lubricantes</t>
  </si>
  <si>
    <t>Alimento para humanos</t>
  </si>
  <si>
    <t>Servicios Básicos</t>
  </si>
  <si>
    <t>Adquisición de equipo médico</t>
  </si>
  <si>
    <t>Adquisición de equipo no médico</t>
  </si>
  <si>
    <t>Mantenimiento en general</t>
  </si>
  <si>
    <t>Total Presupuesto</t>
  </si>
  <si>
    <t>12. Información Gestión Servicios</t>
  </si>
  <si>
    <t>Indicador</t>
  </si>
  <si>
    <t>% Variación 2010 vs. 2009</t>
  </si>
  <si>
    <t>Tiempo promedio de espera para consulta de medicina especializada</t>
  </si>
  <si>
    <t>Tiempo promedio de espera para cirugía electiva</t>
  </si>
  <si>
    <t>Número de cirugías electivas programadas</t>
  </si>
  <si>
    <t>Número de cirugías electivas canceladas</t>
  </si>
  <si>
    <t>Porcentaje de Cirugías electivas canceladas</t>
  </si>
  <si>
    <t>Número de infecciones nosocomiales</t>
  </si>
  <si>
    <t>Porcentaje infecciones nosocomiales</t>
  </si>
  <si>
    <t>Número de muertes intrahospitalarias en las primeras 48 horas</t>
  </si>
  <si>
    <t>Porcentaje muertes intrahospitalarias antes de 48 horas</t>
  </si>
  <si>
    <t>Número de muertes intrahospitalarias después de 48 horas</t>
  </si>
  <si>
    <t>Porcentaje muertes intrahospitalarias después de 48 horas</t>
  </si>
  <si>
    <t>Pacientes recibidos de otras Instituciones.</t>
  </si>
  <si>
    <t>Número total de pacientes recibidos para atención de Consulta Médica Especializada</t>
  </si>
  <si>
    <t>Número total de pacientes recibidos para la atención del Parto</t>
  </si>
  <si>
    <t>Número total de pacientes recibidos para Hospitalización No Quirúrgica</t>
  </si>
  <si>
    <t>Número total de pacientes recibidos para la realización de procedimientos quirúrgicos</t>
  </si>
  <si>
    <t>Pacientes referidos a otras instituciones.</t>
  </si>
  <si>
    <t>Número total de pacientes referidos para atención de Consulta Médica Especializada</t>
  </si>
  <si>
    <t>Número total de pacientes referidos para la atención del Parto a niveles superiores</t>
  </si>
  <si>
    <t>Número total de pacientes referidos para Hospitalización No Quirúrgica</t>
  </si>
  <si>
    <t>Número total de pacientes referidos para la realización de procedimientos quirúrgicos</t>
  </si>
  <si>
    <t>Nivel de Abastecimiento de Medicamentos (%)</t>
  </si>
  <si>
    <t>% Ejecución del Presupuesto de funcionamiento</t>
  </si>
  <si>
    <t>13. Normas de Programación</t>
  </si>
  <si>
    <t>13.1 Días Laborales al Año</t>
  </si>
  <si>
    <t>Personal Rotativo</t>
  </si>
  <si>
    <t>Otro Personal</t>
  </si>
  <si>
    <t>Días totales año</t>
  </si>
  <si>
    <t>Sábados y Domingos</t>
  </si>
  <si>
    <t>Otros Asuetos de Ley</t>
  </si>
  <si>
    <t>Vacaciones (Sin incluir Sábados ni Domingos)</t>
  </si>
  <si>
    <t>Subtotal días laborables</t>
  </si>
  <si>
    <t>% Tiempo Ausentismo </t>
  </si>
  <si>
    <t>Días ausentismo</t>
  </si>
  <si>
    <t>Días Laborales Año Descontando Ausentismo</t>
  </si>
  <si>
    <t>Meses Año (Análisis Rendimiento)</t>
  </si>
  <si>
    <t>13.2 Criterios de Programación Hospitalaria para el Médico</t>
  </si>
  <si>
    <t>13.2.1 Rendimiento Médico</t>
  </si>
  <si>
    <t>Tiempo por Actividad (Minutos)</t>
  </si>
  <si>
    <t>Consulta Medica</t>
  </si>
  <si>
    <t>Consulta</t>
  </si>
  <si>
    <t>Médico General</t>
  </si>
  <si>
    <t>Médico Especialista</t>
  </si>
  <si>
    <t>Consulta Odontologica</t>
  </si>
  <si>
    <t>Odontologo General</t>
  </si>
  <si>
    <t>Ortodoncia</t>
  </si>
  <si>
    <t>Emergencias</t>
  </si>
  <si>
    <t>Hospitalización </t>
  </si>
  <si>
    <t>Ingreso Paciente</t>
  </si>
  <si>
    <t>Control paciente ingresado</t>
  </si>
  <si>
    <t>Cirugía</t>
  </si>
  <si>
    <t>Procedimiento más frecuentes</t>
  </si>
  <si>
    <t>Procedimientos más complejos</t>
  </si>
  <si>
    <t>Pequeña Cirugía</t>
  </si>
  <si>
    <t>% Pequeña Cirugía realizada por el médico</t>
  </si>
  <si>
    <t>Otros procedimientos</t>
  </si>
  <si>
    <t>14. Producción y rendimientos atención ambulatoria, partos, cirugías y otros procedimientos. 2010</t>
  </si>
  <si>
    <t>Horas Anuales Disponibles (12 meses)</t>
  </si>
  <si>
    <t>Rendimiento Observado Medico</t>
  </si>
  <si>
    <t>Norma Rendimiento Medico</t>
  </si>
  <si>
    <t>Horas Requeridas</t>
  </si>
  <si>
    <t>Producción potencial 2011</t>
  </si>
  <si>
    <t>Atención Ambulatoria</t>
  </si>
  <si>
    <t>Total Consultas Médicas</t>
  </si>
  <si>
    <t>Total Consultas Emergencia</t>
  </si>
  <si>
    <t>Total de Consultas de Odontologia</t>
  </si>
  <si>
    <t>Cirugía Mayor</t>
  </si>
  <si>
    <t>1. Electivas para Hospitalización</t>
  </si>
  <si>
    <t>2. Electivas Ambulatorias</t>
  </si>
  <si>
    <t>3. De Emergencia para Hospitalización</t>
  </si>
  <si>
    <t>4. De Emergencia Ambulatoria</t>
  </si>
  <si>
    <t>Total Cirugía Mayor</t>
  </si>
  <si>
    <t>Cirugía Menor</t>
  </si>
  <si>
    <t>No. Cirugías Menores</t>
  </si>
  <si>
    <t>Otros Procedimientos</t>
  </si>
  <si>
    <t>Total de Otros Procedimientos</t>
  </si>
  <si>
    <t>15. Producción y rendImientos en Hospitalización, 2010</t>
  </si>
  <si>
    <t>Meses</t>
  </si>
  <si>
    <t>Servicio</t>
  </si>
  <si>
    <t>Norma Tiempo (minutos) por Actividad</t>
  </si>
  <si>
    <t>Horas Requeridas Md. Especialista</t>
  </si>
  <si>
    <t>Dato Ideal período</t>
  </si>
  <si>
    <t>Variación Dato Real Vs. Dato Ideal </t>
  </si>
  <si>
    <t>Dotación promedio mensual de camas</t>
  </si>
  <si>
    <t>No. Ingresos</t>
  </si>
  <si>
    <t>Relación Ingreso / Egreso</t>
  </si>
  <si>
    <t>Porcentaje Ocupación</t>
  </si>
  <si>
    <t>Promedio Día Estancia</t>
  </si>
  <si>
    <t>Intervalo sustitución cama</t>
  </si>
  <si>
    <t>Giro Cama (Productividad de la cama)</t>
  </si>
  <si>
    <t>Días Paciente (equivalente a días camas ocupados)</t>
  </si>
  <si>
    <t>Días Cama Disponible</t>
  </si>
  <si>
    <t>Días Paciente Egresado</t>
  </si>
  <si>
    <t>Días Paciente - No. Ingresos (resultado equivale a Controles)</t>
  </si>
  <si>
    <t>Días Paciente</t>
  </si>
  <si>
    <t>Días Paciente - No. Ingresos</t>
  </si>
  <si>
    <t>Total Hospital</t>
  </si>
  <si>
    <t>16. Producción y rendimientos por Servicio para el Médico, de 2010</t>
  </si>
  <si>
    <t>Recursos Humanos</t>
  </si>
  <si>
    <t>Total Horas Asistenciales por Mes</t>
  </si>
  <si>
    <t>Total Horas Asistenciales por Período</t>
  </si>
  <si>
    <t>Producción</t>
  </si>
  <si>
    <t>Rendimiento Observado Total Horas Asistenciales (Actividades por Hora)</t>
  </si>
  <si>
    <t>Rendimiento Esperado (Actividades por Hora)</t>
  </si>
  <si>
    <t>Horas Asistenciales Requeridas</t>
  </si>
  <si>
    <t>Diferencia Horas Disponibles Vs. Requeridas (Asistenciales)</t>
  </si>
  <si>
    <t>Rendimiento Observado Total Horas Asistenciales</t>
  </si>
  <si>
    <t>Rendimiento Esperado</t>
  </si>
  <si>
    <t>Horas Asistenciales Requeridas para el Período</t>
  </si>
  <si>
    <t>Horas Asistenciales Disponibles para el Período</t>
  </si>
  <si>
    <t>Indice Horas Disponibles Vs Horas Requeridas</t>
  </si>
  <si>
    <t>Diferencia Horas Disponibles Vs. Requeridas Periodo</t>
  </si>
  <si>
    <t>Diferencia Horas Disponibles Vs. Requeridas Mes</t>
  </si>
  <si>
    <t>Medicos Generales</t>
  </si>
  <si>
    <t>Medico Especialista</t>
  </si>
  <si>
    <t>Residente</t>
  </si>
  <si>
    <t>Medico Sub Especialista</t>
  </si>
  <si>
    <t>Odontologo</t>
  </si>
  <si>
    <t>2.1.4</t>
  </si>
  <si>
    <t>2.1.5</t>
  </si>
  <si>
    <t>2.1.6</t>
  </si>
  <si>
    <t>2.1.7</t>
  </si>
  <si>
    <t>2.1.8</t>
  </si>
  <si>
    <t>2.1.9</t>
  </si>
  <si>
    <t>2.1.10</t>
  </si>
  <si>
    <t>2.1.11</t>
  </si>
  <si>
    <t>2.1.12</t>
  </si>
  <si>
    <t>2.1.13</t>
  </si>
  <si>
    <t>Medico General</t>
  </si>
  <si>
    <t>Centro Quirurgico</t>
  </si>
  <si>
    <t>17. Producción Servicios 2011</t>
  </si>
  <si>
    <t>2010 Vs 2009</t>
  </si>
  <si>
    <t>Indice de Horas Disponibles 2010 Vs Horas Requeridas 2010</t>
  </si>
  <si>
    <t>Año 2011 Programación</t>
  </si>
  <si>
    <t>Actividades Programadas 2011 Vs Realizadas 2010</t>
  </si>
  <si>
    <t>18. Programación Servicios Intermedios 2011.</t>
  </si>
  <si>
    <t>Actividades Programadas Año 2011</t>
  </si>
  <si>
    <t>Total Programado 2011</t>
  </si>
  <si>
    <t>19. Programación Servicios Generales 2011</t>
  </si>
  <si>
    <t>20. Programación Gestión Servicios 2011</t>
  </si>
  <si>
    <t>S/M</t>
  </si>
  <si>
    <t>PROGRAMACION OPERATIVA 2011</t>
  </si>
  <si>
    <t>Actividades Hospitalarias</t>
  </si>
  <si>
    <t>No. Actividades programadas (Año 2011)</t>
  </si>
  <si>
    <t>Evaluación de actividades realizadas</t>
  </si>
  <si>
    <t>ENERO</t>
  </si>
  <si>
    <t>FEBRERO</t>
  </si>
  <si>
    <t>MARZO</t>
  </si>
  <si>
    <t>CONSOLIDADO TRIMESTRE 1</t>
  </si>
  <si>
    <t>ABRIL</t>
  </si>
  <si>
    <t>MAYO</t>
  </si>
  <si>
    <t>JUNIO</t>
  </si>
  <si>
    <t>CONSOLIDADO TRIMESTRE 2</t>
  </si>
  <si>
    <t>JULIO</t>
  </si>
  <si>
    <t>AGOSTO</t>
  </si>
  <si>
    <t>SEPTIEMBRE</t>
  </si>
  <si>
    <t>CONSOLIDADO TRIMESTRE 3</t>
  </si>
  <si>
    <t>OCTUBRE</t>
  </si>
  <si>
    <t>NOVIEMBRE</t>
  </si>
  <si>
    <t>DICIEMBRE</t>
  </si>
  <si>
    <t>CONSOLIDADO TRIMESTRE 4</t>
  </si>
  <si>
    <t>TOTAL ANUAL</t>
  </si>
  <si>
    <t>Prog.</t>
  </si>
  <si>
    <t>Realiz.</t>
  </si>
  <si>
    <t>%</t>
  </si>
  <si>
    <t>Consultas</t>
  </si>
  <si>
    <t>Procedimientos</t>
  </si>
  <si>
    <t>Cirugias</t>
  </si>
  <si>
    <t>Casos</t>
  </si>
  <si>
    <t>Servicios Intermedios</t>
  </si>
  <si>
    <t>Unidades de sangre</t>
  </si>
  <si>
    <t>Preparados</t>
  </si>
  <si>
    <t>Servicios Generales</t>
  </si>
  <si>
    <t>Ordenes</t>
  </si>
  <si>
    <t>Gestión de Servicios</t>
  </si>
  <si>
    <t>Meta programada 2011</t>
  </si>
  <si>
    <t>Días</t>
  </si>
  <si>
    <t>No. de Cirugias electivas canceladas</t>
  </si>
  <si>
    <t>% Cirugias</t>
  </si>
  <si>
    <t>No. de Infecciones Nosocomiales</t>
  </si>
  <si>
    <t>% Casos</t>
  </si>
  <si>
    <t>No. muertes intrahospitalarias antes de las 48 horas</t>
  </si>
  <si>
    <t>No. muertes intrahospitalarias despues de las 48 horas</t>
  </si>
  <si>
    <t>Referencias Recibidas</t>
  </si>
  <si>
    <t>Referencias relizadas</t>
  </si>
  <si>
    <t>Dolares</t>
  </si>
  <si>
    <t>Programación Anual Operativo</t>
  </si>
  <si>
    <t>Formulario F: Programación de resultados y actividades de proyectos especiales</t>
  </si>
  <si>
    <t>No.</t>
  </si>
  <si>
    <t>Medio de Verificación</t>
  </si>
  <si>
    <t>Responsables</t>
  </si>
  <si>
    <t>Meta anual</t>
  </si>
  <si>
    <t>1er. Trimestre</t>
  </si>
  <si>
    <t>2do. Trimestre</t>
  </si>
  <si>
    <t>3er. Trimestre</t>
  </si>
  <si>
    <t>4to.. Trimestre</t>
  </si>
  <si>
    <t>Supuestos/Factores Condicionantes para el éxito en el cumplimiento de los resultados esperados o metas</t>
  </si>
  <si>
    <t>Ud. De medida</t>
  </si>
  <si>
    <t>Cantidad</t>
  </si>
  <si>
    <t>OBJETIVO: Brindar atención médica especializada con apoyo en la investigación basada en evidencia, avance tecnológico y un sistema de valores, que garantice la satisfacción del usuario.</t>
  </si>
  <si>
    <t>Resultado esperado: Implementar políticas institucionales que nos permitan proporcionar atención médica eficiente.       </t>
  </si>
  <si>
    <t>Apoyar al MINSAL en el proceso de normatizacion  clínica a través de la elaboracion de guías</t>
  </si>
  <si>
    <t>No de horas invertidas por recurso          </t>
  </si>
  <si>
    <t>Guías elaboradas</t>
  </si>
  <si>
    <t>UFP coordinado con las Divisiones  y Recursos Humanos</t>
  </si>
  <si>
    <t># de Horas rso</t>
  </si>
  <si>
    <t>Fortalecer el proceso de integración y funcionamiento de los comités de apoyo clínico y vigilar el cumplimiento de sus recomendaciones (Infecciones Nosocomiales, Mortalidad, Expediente clínico, Farmacoterapia, Bioética, etc.)</t>
  </si>
  <si>
    <t>No. De supervisiones de los comites</t>
  </si>
  <si>
    <t>Informes y Recomendaciones</t>
  </si>
  <si>
    <t>Comites</t>
  </si>
  <si>
    <t># de informes </t>
  </si>
  <si>
    <t>Realizar medidas educativas  para  reducir  las infecciones atribuidas a la atencion sanitaria </t>
  </si>
  <si>
    <t>No. Medidas educativas implementadas</t>
  </si>
  <si>
    <t>Registro de control de actividades educativas </t>
  </si>
  <si>
    <t>Comité de Infecciones Nosocomiales</t>
  </si>
  <si>
    <t>Nº de actividades educativas </t>
  </si>
  <si>
    <t>Indice de Infecciones </t>
  </si>
  <si>
    <t>Informes Infecciones nosocomiales por servicio</t>
  </si>
  <si>
    <t>Indice de Infecciones</t>
  </si>
  <si>
    <t>Resultado esperado: Garantizar el uso óptimo de los recursos en los procesos esenciales: Consulta Externa, Emergencia y Hospitalización</t>
  </si>
  <si>
    <t> Lograr que el 80% de las especialidades cumplan con el tiempo de espera de citas de primera vez estandarizado
</t>
  </si>
  <si>
    <t>% de disminución del tiempo de espera</t>
  </si>
  <si>
    <t>Informe de tiempos de espera disminuidos</t>
  </si>
  <si>
    <t>Depto. Consulta Externa, citas, informatica y enfermeria.</t>
  </si>
  <si>
    <t>días</t>
  </si>
  <si>
    <t>Realizar el proceso que permitan el establecimiento real del tiempo de espera para la atención de cirugía especializada</t>
  </si>
  <si>
    <t>Estandar de tiempo de espera de cirugia definido</t>
  </si>
  <si>
    <t>Documento elaborado y oficializado</t>
  </si>
  <si>
    <t>Depto de Consulta Externa y Depto. De Centro Quirugico</t>
  </si>
  <si>
    <t>% de avance </t>
  </si>
  <si>
    <t>1.2.3</t>
  </si>
  <si>
    <t>Realizar el proceso que permita el establecimiento del tiempo de espera de ingreso  de pacientes </t>
  </si>
  <si>
    <t>Estandar establecido</t>
  </si>
  <si>
    <t>Division de Enfermeria y Unidad de Comunicaciones</t>
  </si>
  <si>
    <t>1.2.4</t>
  </si>
  <si>
    <t>Programar jornadas y brigadas médico-quirúrgicas extrahospitalarias como aporte al desarrollo de la red de salud en beneficio de la comunidad.</t>
  </si>
  <si>
    <t>Número de jornadas/brigadas realizadas                           </t>
  </si>
  <si>
    <t>Programación de Jornadas </t>
  </si>
  <si>
    <t>División  Cirugía</t>
  </si>
  <si>
    <t># de jornadas realizadas</t>
  </si>
  <si>
    <t>OBJETIVO:Lograr la eficiencia y eficacia del Recurso Humano, a través de la formación y desarrollo de sus capacidades, basado en un sistema de valores que garantice la búsqueda  permanente de la excelencia</t>
  </si>
  <si>
    <t>Resultado esperado: Procurar la implementación de programas que permitan el desarrollo y formación del recurso humano</t>
  </si>
  <si>
    <t> Desarrollar al personal a través del programa un capacitación institucional</t>
  </si>
  <si>
    <t>%  de personal capacitado</t>
  </si>
  <si>
    <t>Informe de cumplimiento del Plan de Capacitación</t>
  </si>
  <si>
    <t>UFP</t>
  </si>
  <si>
    <t># de participantes </t>
  </si>
  <si>
    <t>OBJETIVO:Lograr la aplicación de un sistema de control y seguimiento institucional que garantice el uso óptimo de los recursos en forma transparente y apoyado en la legislación y tecnología actualizada.</t>
  </si>
  <si>
    <t>Resultado esperado: Establecer mecanismos de control que permitan el seguimiento del que hacer institucional</t>
  </si>
  <si>
    <t>Seguimiento y monitoreo del proceso de generacion de informacion institucional </t>
  </si>
  <si>
    <t>% de dependencias que con cumplen oportunamente </t>
  </si>
  <si>
    <t>Control de entrega de informes y en los Reportes Estadisticos mensuales</t>
  </si>
  <si>
    <t>Unidad de Planificacion y Estadistica</t>
  </si>
  <si>
    <t># de informes  de cumpliento</t>
  </si>
  <si>
    <t>Establecimiento y monitoreo de  indicadores de gestión institucional</t>
  </si>
  <si>
    <t># de indicadores establecidos</t>
  </si>
  <si>
    <t>En el archivo de Indicadores de Gestion del HNNBB</t>
  </si>
  <si>
    <t>Unidad de Planificacion en coordinacion con las dependencias relacionadas</t>
  </si>
  <si>
    <t># de Indicadores construidos</t>
  </si>
  <si>
    <t>% de cumplimiento de indicadores</t>
  </si>
  <si>
    <t> Resultado mensual de los indicadores</t>
  </si>
  <si>
    <t>Verificar y evaluar la efectividad y funcionamiento de los  herrmientas e informes  de control en areas como: Farmacia, Almacenes, UACI, Mantenimiento, Alimentacion y Dietas</t>
  </si>
  <si>
    <t>No. de herramienta e informes evaluados por centro de responsabilidad</t>
  </si>
  <si>
    <t>Informes de revision y evaluacion realizadas </t>
  </si>
  <si>
    <t>Division Administrativa, Division de Diagnostico</t>
  </si>
  <si>
    <t>#  de mejoras  en las areas evaluadas</t>
  </si>
  <si>
    <t>Monitoreo de cumplimiento de la Programacion Operativa</t>
  </si>
  <si>
    <t>% de cumplimiento</t>
  </si>
  <si>
    <t>El Archivo de Programacion Operativa 2011</t>
  </si>
  <si>
    <t>Unidad de Planificacion</t>
  </si>
  <si>
    <t>Resultado mensual</t>
  </si>
  <si>
    <t>PLAN ANUAL OPERATIVO HOSPITALES 2011</t>
  </si>
  <si>
    <t>EVALUACIÓN TRIMESTRAL Y ANUAL DE METAS</t>
  </si>
  <si>
    <t>FORMULARIO G: EVALUACIÓN</t>
  </si>
  <si>
    <r>
      <t xml:space="preserve">INDICADOR </t>
    </r>
    <r>
      <rPr>
        <rFont val="Calibri"/>
        <charset val="1"/>
        <family val="2"/>
        <b val="true"/>
        <sz val="10"/>
        <vertAlign val="superscript"/>
      </rPr>
      <t xml:space="preserve">1</t>
    </r>
  </si>
  <si>
    <t>FORMULA</t>
  </si>
  <si>
    <t>Ejemplo de ampliación de alcance del indicador general a los diferentes servicios de cada hospital</t>
  </si>
  <si>
    <t>PLAN DE ANALISIS</t>
  </si>
  <si>
    <t>Porcentaje de ocupación de camas hospitalarias</t>
  </si>
  <si>
    <t>Días camas ocupados / Días camas disponibles X 100</t>
  </si>
  <si>
    <t>Porcentaje de ocupación de camas en el(los) Servicio(s) de Medicina Interna, etc.</t>
  </si>
  <si>
    <t>El porcentaje de ocupación hospitalaria es la relación entre los días camas ocupados o pacientes días de un período dadoy los días camas disponibles de dicho período y representa una forma de medir la eficiencia en la utilización de los recursos hospitalarios, dado que informa sobre la capacidad utilizada o subutilizada en los hospitales. En alguna bibliografía se menciona que el porcentaje de ocupación máximo para unidades de 30 a 180 camas censables, total y por servicio, fluctúa de 85 a 90%, así un porcentaje menor al 85% refleja capacidad instalada ociosa; por otra parte en los hospitales es recomendable un 15% de capacidad de reserva.</t>
  </si>
  <si>
    <t>Promedio de días estancia</t>
  </si>
  <si>
    <t>Días de estadía de los pacientes egresados en el periodo / Egresos en el mismo periodo
</t>
  </si>
  <si>
    <t>Promedio de días entancia en el(los) Servicio(s) de Medicina Interna, etc.</t>
  </si>
  <si>
    <t>Es el número de días promedio de atención hospitalaria que recibió cada paciente egresado en un período de tiempo. Puede indicar aplicación
inadecuada de la capacidad resolutiva cuando los días de estancia son demasiado cortos o demasiado
largos, lo que hace especialmente útil a este indicador cuando se analiza por afección principal.</t>
  </si>
  <si>
    <t>Intervalo de tiempo de sustitución</t>
  </si>
  <si>
    <t>Días cama disponibles - Días cama ocupados / total de egresos del período</t>
  </si>
  <si>
    <t>Intervalo de tiempo de sustitución en el(los) Servicio(s) de Medicina Interna, etc.</t>
  </si>
  <si>
    <t>Es el tiempo promedio que una cama permanece desocupada entre el egreso de un paciente y el ingreso de otro.</t>
  </si>
  <si>
    <t>Giro cama o índice de rotación</t>
  </si>
  <si>
    <t>Egresos de un período de tiempo dado / Dotación total de Camas</t>
  </si>
  <si>
    <t>Giro cama o índice de rotación en el(los) Servicio(s) de Medicina Interna, etc.</t>
  </si>
  <si>
    <t>Se interpreta como el número de personas que pasan por una cama durante un tiempo determinado. Se determina a partir del número de egresos hospitalarios generados con base al número de camas censables existente en un periodo determinado. Esta relación permite, por un lado, valorar la capacidad potencial de la unidad a partir de sus recursos (egresos por cama censable), y por el otro, es un acercamiento a la utilización adecuada de los recursos; por ejemplo, un índice de rotación bajo implica que los egresos son menores a lo potencialmente posible (subutilización).</t>
  </si>
  <si>
    <t>Porcentaje de rendimiento (tiempo de utilización) de quirófanos (para cirugía electiva)</t>
  </si>
  <si>
    <t>Número de horas quirúrgicas utilizadas en el año / Número de horas quirófano disponibles en el hospital X 100</t>
  </si>
  <si>
    <t>Representa el porcentaje de horas de utilización del quirófano en relación a las horas totales que está disponible, por lo que se persigue que este sea lo mayor posible.</t>
  </si>
  <si>
    <t>(Número) Promedio diario de intervenciones quirúrgicas por quirófano (para cirugía electiva)</t>
  </si>
  <si>
    <t>Número de intervenciones quirúrgicas electivas / Número de quirófanos para cirugía electiva /  día</t>
  </si>
  <si>
    <t>Este indicador de proceso permite medir la productividad de los quirófanos instalados y, de manera indirecta, refleja la disponibilidad de servicios quirúrgicos para la atención a la salud.</t>
  </si>
  <si>
    <r>
      <t xml:space="preserve">(Número) promedio diario de consultas (ambulatorias) por consultorio (de consulta externa) </t>
    </r>
    <r>
      <rPr>
        <rFont val="Calibri"/>
        <charset val="1"/>
        <family val="2"/>
        <color rgb="00000000"/>
        <sz val="11"/>
        <vertAlign val="superscript"/>
      </rPr>
      <t xml:space="preserve">2</t>
    </r>
  </si>
  <si>
    <t>Número de consultas  / Total de Consultorios del Servicio de Consulta Externa / día</t>
  </si>
  <si>
    <t>El promedio diario de consultas por consultorio de consulta externa permite medir la utilización y productividad de los
servicios, aproximándose de manera indirecta a una idea de calidad de la atención. Generalmente se considera que un consultorio debe producir entre tres y cuatro consultas por hora, por lo que en ocho horas de labores se pueden otorgar entre 24 y 32 consultas.</t>
  </si>
  <si>
    <t>(Número) promedio diario de consultas (ambulatorias) por consultorio de emergencias</t>
  </si>
  <si>
    <t>Consultas de emergencias en el año / Total de Consultorios de emergencias / 365</t>
  </si>
  <si>
    <t>El promedio diario de consultas por consultorio de emergencias permite medir la utilización y productividad de los
servicios, aproximándose de manera indirecta a una idea de calidad de la atención. Generalmente se considera que un consultorio de emergencias debe producir dos consultas por hora, por lo que en ocho horas de labores se pueden otorgar un máximo de 16 consultas.</t>
  </si>
  <si>
    <t>Tiempo promedio (días) de espera para consulta médica especializada</t>
  </si>
  <si>
    <t>Número de días desde la fecha de inclusión a la lista de espera hasta la fecha probable de consulta médica / Total de pacientes de la lista de espera pendientes a la fecha del corte.</t>
  </si>
  <si>
    <t>Es la medición del del tiempo promedio expresado en días que los pacientes tienen que esperar para recibir la consulta médica especializada y está relacionado con la calidad de atención y principalmente con la prevención de complicaciones.</t>
  </si>
  <si>
    <t>Tiempo promedio (días) de espera para cirugía electiva</t>
  </si>
  <si>
    <t>Número de días desde la fecha de inclusión a la lista de espera hasta la fecha probable de la cirugía / Total de pacientes de la lista de espera pendientes a la fecha del corte.</t>
  </si>
  <si>
    <t>Es la medición del tiempo promedio expresado en días que los pacientes tienen que esperar para ser operados por una afección no urgente y está relacionado con la calidad de atención y principalmente con la prevención de complicaciones.</t>
  </si>
  <si>
    <t>Porcentaje de cirugías electivas suspendidas</t>
  </si>
  <si>
    <t>Número de intervenciones quirúrgicas suspendidas / número de intervenciones quirúrgicas programadas X 100</t>
  </si>
  <si>
    <t>Es una medición de la capacidad de gestión del servicio de quirofanos, del uso de este recurso, de los mecanismos de programación y de el uso de los recursos humanos.</t>
  </si>
  <si>
    <t>Porcentaje de infecciones nosocomiales</t>
  </si>
  <si>
    <t>Número pacientes con infección nosocomial / Total de egresos</t>
  </si>
  <si>
    <t>Porcentaje de mortalidad hospitalaria</t>
  </si>
  <si>
    <t>Número de muertes ocurridas luego de 48 horas de ingreso / Número total de egresos en un período determinado</t>
  </si>
  <si>
    <t>Porcentaje de  referencias recibidas de los establecimientos de la Red Integrada e Integral de Servicios de Salud de su área geopoblacional</t>
  </si>
  <si>
    <t>No. de referencias recibidas desde los establecimiento de salud de la RIISS local / Total de referencias recibidas de los establecimientos de la RIISS local y de los de otra RIISS X 100</t>
  </si>
  <si>
    <t>Porcentaje de  referencias recibidas de establecimientos pertenecientes a otra Red Integrada e Integral de Servicios de Salud</t>
  </si>
  <si>
    <t>No. de referencias recibidas de  establecimientos de salud "ajenos" a la RIISS local / Total de referencias recibidas de los establecimientos de la RIISS local y de los de otra RIISS X 100</t>
  </si>
  <si>
    <t>Porcentaje de  referencias recibidas cuyo caso terminó en muerte</t>
  </si>
  <si>
    <t>No. de referencias recibidas cuyo caso terminó en muerte / Total de referencias recibidas de establecimientos de salud de la RIISS local y de los de otra RSISS X 100</t>
  </si>
  <si>
    <t>Porcentaje de  retornos o contrarreferencias despachados(as)</t>
  </si>
  <si>
    <t>No. de retornos o contrarreferencias realizadas / Total de referencias recibidas de los establecimientos de la RIISS local y de los de otra RIISS X 100</t>
  </si>
  <si>
    <t>Porcentaje de  referencias recibidas en el  Servicio de Emergencias</t>
  </si>
  <si>
    <t>No. de referencias recibidas para atención en Servicio de Emergencias / Total de referencias recibidas de los establecimientos de la RIISS local y de los de otra RIISS X 100</t>
  </si>
  <si>
    <t>Porcentaje de  referencias recibidas en Servicios de Consulta Externa</t>
  </si>
  <si>
    <t>No. de referencias recibidas para atención en Servicio de Consulta Externa del hospital de referencia / Total de referencias recibidas de los establecimientos de la RIISS local y de los de otra RIISS X 100</t>
  </si>
  <si>
    <t>Porcentaje de  referencias recibidas para toma de pruebas de Lab. Clín., RX, USG y otros</t>
  </si>
  <si>
    <t>No. de referencias recibidas para toma de pruebas de Laboratorio Cllínico, RX, USG / Total de referencias recibidas de los establecimientos de la RIISS local y de los de otra RIISS X 100</t>
  </si>
  <si>
    <t>Porcentaje de  referencias recibidas para atención de lesiones de causa externa</t>
  </si>
  <si>
    <t>No. de referencias enviadas desde el establecimiento de salud al hospital de referencia debido a lesiones de causa externa / Total de referencias recibidas de los establecimientos de la RIISS local y de los de otra RIISS X 100</t>
  </si>
  <si>
    <t>Porcentaje de  referencias recibidas para atención de morbilidad aguda</t>
  </si>
  <si>
    <t>No. de referencias enviadas desde el establecimiento de salud al hospital de referencia debido a morbilidad aguda / Total de referencias recibidas de los establecimientos de la RIISS local y de los de otra RIISS X 100</t>
  </si>
  <si>
    <t>Porcentaje de  referencias recibidas para atención de morbilidad crónica</t>
  </si>
  <si>
    <t>No. de referencias enviadas desde el establecimiento de salud al hospital de referencia debido a morbilidad crónica / Total de referencias recibidas de los establecimientos de la RIISS local y de los de otra RIISS X 100</t>
  </si>
  <si>
    <t>Porcentaje de  referencias recibidas para atención de embarazo, parto y puerperio</t>
  </si>
  <si>
    <t>No. de referencias enviadas desde el establecimiento de salud al hospital de referencia debido a embarazo, parto y puerperio / Total de referencias recibidas de los establecimientos de la RIISS local y de los de otra RIISS X 100</t>
  </si>
  <si>
    <t>Porcentaje de  referencias recibidas para atención de otras causas</t>
  </si>
  <si>
    <t>No. de referencias recibidas para atención de otras causas / Total de referencias recibidas de los establecimientos de la RIISS local y de los de otra RIISS X 100</t>
  </si>
  <si>
    <t> </t>
  </si>
</sst>
</file>

<file path=xl/styles.xml><?xml version="1.0" encoding="utf-8"?>
<styleSheet xmlns="http://schemas.openxmlformats.org/spreadsheetml/2006/main">
  <numFmts count="17">
    <numFmt formatCode="GENERAL" numFmtId="164"/>
    <numFmt formatCode="0%" numFmtId="165"/>
    <numFmt formatCode="@" numFmtId="166"/>
    <numFmt formatCode="M/D/YYYY" numFmtId="167"/>
    <numFmt formatCode="DD\-MMM\-YYYY" numFmtId="168"/>
    <numFmt formatCode="#,##0" numFmtId="169"/>
    <numFmt formatCode="0.00%" numFmtId="170"/>
    <numFmt formatCode="0.0%" numFmtId="171"/>
    <numFmt formatCode="0.0" numFmtId="172"/>
    <numFmt formatCode="0" numFmtId="173"/>
    <numFmt formatCode="#,##0.00" numFmtId="174"/>
    <numFmt formatCode="#,##0.0" numFmtId="175"/>
    <numFmt formatCode="#,##0;[RED]#,##0" numFmtId="176"/>
    <numFmt formatCode="0.00" numFmtId="177"/>
    <numFmt formatCode="\$#,##0" numFmtId="178"/>
    <numFmt formatCode="_(\$* #,##0_);_(\$* \(#,##0\);_(\$* \-??_);_(@_)" numFmtId="179"/>
    <numFmt formatCode="_-\$* #,##0_-;&quot;-$&quot;* #,##0_-;_-\$* \-??_-;_-@_-" numFmtId="180"/>
  </numFmts>
  <fonts count="75">
    <font>
      <name val="Calibri"/>
      <charset val="1"/>
      <family val="2"/>
      <color rgb="00000000"/>
      <sz val="11"/>
    </font>
    <font>
      <name val="Arial"/>
      <family val="0"/>
      <sz val="10"/>
    </font>
    <font>
      <name val="Arial"/>
      <family val="0"/>
      <sz val="10"/>
    </font>
    <font>
      <name val="Arial"/>
      <family val="0"/>
      <sz val="10"/>
    </font>
    <font>
      <name val="Arial"/>
      <charset val="1"/>
      <family val="2"/>
      <color rgb="000000FF"/>
      <sz val="10"/>
      <u val="single"/>
    </font>
    <font>
      <name val="Arial"/>
      <charset val="1"/>
      <family val="2"/>
      <sz val="10"/>
    </font>
    <font>
      <name val="Comic Sans MS"/>
      <charset val="1"/>
      <family val="4"/>
      <b val="true"/>
      <color rgb="00000000"/>
      <sz val="22"/>
    </font>
    <font>
      <name val="Cambria"/>
      <charset val="1"/>
      <family val="1"/>
      <b val="true"/>
      <color rgb="00000000"/>
      <sz val="28"/>
    </font>
    <font>
      <name val="Cambria"/>
      <charset val="1"/>
      <family val="1"/>
      <b val="true"/>
      <color rgb="00000000"/>
      <sz val="22"/>
    </font>
    <font>
      <name val="Calibri"/>
      <charset val="1"/>
      <family val="2"/>
      <b val="true"/>
      <color rgb="00000000"/>
      <sz val="16"/>
    </font>
    <font>
      <name val="Arial"/>
      <charset val="1"/>
      <family val="2"/>
      <b val="true"/>
      <sz val="18"/>
    </font>
    <font>
      <name val="Arial"/>
      <charset val="1"/>
      <family val="2"/>
      <b val="true"/>
      <sz val="16"/>
    </font>
    <font>
      <name val="Arial"/>
      <charset val="1"/>
      <family val="2"/>
      <b val="true"/>
      <sz val="12"/>
    </font>
    <font>
      <name val="Arial"/>
      <charset val="1"/>
      <family val="2"/>
      <b val="true"/>
      <sz val="10"/>
    </font>
    <font>
      <name val="Arial"/>
      <charset val="1"/>
      <family val="2"/>
      <color rgb="000000FF"/>
      <sz val="10"/>
    </font>
    <font>
      <name val="Arial"/>
      <charset val="1"/>
      <family val="2"/>
      <b val="true"/>
      <sz val="7"/>
    </font>
    <font>
      <name val="Arial"/>
      <charset val="1"/>
      <family val="2"/>
      <b val="true"/>
      <sz val="8"/>
    </font>
    <font>
      <name val="Arial"/>
      <charset val="1"/>
      <family val="2"/>
      <sz val="7"/>
    </font>
    <font>
      <name val="Arial"/>
      <charset val="1"/>
      <family val="2"/>
      <color rgb="00000000"/>
      <sz val="10"/>
    </font>
    <font>
      <name val="Arial"/>
      <charset val="1"/>
      <family val="2"/>
      <color rgb="000000FF"/>
      <sz val="7"/>
    </font>
    <font>
      <name val="Arial"/>
      <charset val="1"/>
      <family val="2"/>
      <b val="true"/>
      <i val="true"/>
      <sz val="8"/>
    </font>
    <font>
      <name val="Arial"/>
      <charset val="1"/>
      <family val="2"/>
      <b val="true"/>
      <color rgb="00000000"/>
      <sz val="10"/>
    </font>
    <font>
      <name val="Arial"/>
      <charset val="1"/>
      <family val="2"/>
      <sz val="8"/>
    </font>
    <font>
      <name val="Arial"/>
      <charset val="1"/>
      <family val="2"/>
      <b val="true"/>
      <sz val="14"/>
    </font>
    <font>
      <name val="Arial"/>
      <charset val="1"/>
      <family val="2"/>
      <b val="true"/>
      <color rgb="00FFFFFF"/>
      <sz val="12"/>
    </font>
    <font>
      <name val="Calibri"/>
      <charset val="1"/>
      <family val="2"/>
      <color rgb="00FF0000"/>
      <sz val="11"/>
    </font>
    <font>
      <name val="Arial"/>
      <charset val="1"/>
      <family val="2"/>
      <sz val="11"/>
    </font>
    <font>
      <name val="Calibri"/>
      <charset val="1"/>
      <family val="2"/>
      <b val="true"/>
      <color rgb="00000000"/>
      <sz val="11"/>
    </font>
    <font>
      <name val="Calibri"/>
      <charset val="1"/>
      <family val="2"/>
      <b val="true"/>
      <sz val="12"/>
    </font>
    <font>
      <name val="Calibri"/>
      <charset val="1"/>
      <family val="2"/>
      <b val="true"/>
      <color rgb="00FFFFFF"/>
      <sz val="10"/>
    </font>
    <font>
      <name val="Calibri"/>
      <charset val="1"/>
      <family val="2"/>
      <b val="true"/>
      <color rgb="00FFFFFF"/>
      <sz val="9"/>
    </font>
    <font>
      <name val="Calibri"/>
      <charset val="1"/>
      <family val="2"/>
      <color rgb="00000000"/>
      <sz val="10"/>
    </font>
    <font>
      <name val="Calibri"/>
      <charset val="1"/>
      <family val="2"/>
      <color rgb="00000000"/>
      <sz val="9"/>
    </font>
    <font>
      <name val="Calibri"/>
      <charset val="1"/>
      <family val="2"/>
      <sz val="9"/>
    </font>
    <font>
      <name val="Calibri"/>
      <charset val="1"/>
      <family val="2"/>
      <color rgb="00FFFFFF"/>
      <sz val="10"/>
    </font>
    <font>
      <name val="Calibri"/>
      <charset val="1"/>
      <family val="2"/>
      <color rgb="00FFFFFF"/>
      <sz val="11"/>
    </font>
    <font>
      <name val="Arial"/>
      <charset val="1"/>
      <family val="2"/>
      <color rgb="00000000"/>
      <sz val="9"/>
    </font>
    <font>
      <name val="Calibri"/>
      <charset val="1"/>
      <family val="2"/>
      <color rgb="00FFFFFF"/>
      <sz val="9"/>
    </font>
    <font>
      <name val="Calibri"/>
      <charset val="1"/>
      <family val="2"/>
      <b val="true"/>
      <color rgb="00000080"/>
      <sz val="10"/>
    </font>
    <font>
      <name val="Calibri"/>
      <charset val="1"/>
      <family val="2"/>
      <b val="true"/>
      <color rgb="00FFFFFF"/>
      <sz val="11"/>
    </font>
    <font>
      <name val="Calibri"/>
      <charset val="1"/>
      <family val="2"/>
      <b val="true"/>
      <sz val="11"/>
    </font>
    <font>
      <name val="Calibri"/>
      <charset val="1"/>
      <family val="2"/>
      <b val="true"/>
      <color rgb="00000000"/>
      <sz val="10"/>
    </font>
    <font>
      <name val="Calibri"/>
      <charset val="1"/>
      <family val="2"/>
      <b val="true"/>
      <color rgb="00000000"/>
      <sz val="12"/>
    </font>
    <font>
      <name val="Calibri"/>
      <charset val="1"/>
      <family val="2"/>
      <sz val="10"/>
    </font>
    <font>
      <name val="Calibri"/>
      <charset val="1"/>
      <family val="2"/>
      <b val="true"/>
      <sz val="10"/>
    </font>
    <font>
      <name val="Calibri"/>
      <charset val="1"/>
      <family val="2"/>
      <color rgb="00000000"/>
      <sz val="8"/>
    </font>
    <font>
      <name val="Calibri"/>
      <charset val="1"/>
      <family val="2"/>
      <b val="true"/>
      <sz val="8"/>
    </font>
    <font>
      <name val="Calibri"/>
      <charset val="1"/>
      <family val="2"/>
      <color rgb="00FFFFFF"/>
      <sz val="8"/>
    </font>
    <font>
      <name val="Calibri"/>
      <charset val="1"/>
      <family val="2"/>
      <b val="true"/>
      <sz val="9"/>
    </font>
    <font>
      <name val="Calibri"/>
      <charset val="1"/>
      <family val="2"/>
      <sz val="8"/>
    </font>
    <font>
      <name val="Calibri"/>
      <charset val="1"/>
      <family val="2"/>
      <b val="true"/>
      <i val="true"/>
      <sz val="10"/>
    </font>
    <font>
      <name val="Calibri"/>
      <charset val="1"/>
      <family val="2"/>
      <b val="true"/>
      <color rgb="00000000"/>
      <sz val="8"/>
    </font>
    <font>
      <name val="Arial"/>
      <charset val="1"/>
      <family val="2"/>
      <sz val="9"/>
    </font>
    <font>
      <name val="Calibri"/>
      <charset val="1"/>
      <family val="2"/>
      <color rgb="00FFFFFF"/>
      <sz val="12"/>
    </font>
    <font>
      <name val="Calibri"/>
      <charset val="1"/>
      <family val="2"/>
      <sz val="12"/>
    </font>
    <font>
      <name val="Calibri"/>
      <charset val="1"/>
      <family val="2"/>
      <b val="true"/>
      <color rgb="00000000"/>
      <sz val="9"/>
    </font>
    <font>
      <name val="Arial"/>
      <charset val="1"/>
      <family val="2"/>
      <b val="true"/>
      <sz val="9"/>
    </font>
    <font>
      <name val="Calibri"/>
      <charset val="1"/>
      <family val="2"/>
      <sz val="11"/>
    </font>
    <font>
      <name val="Calibri"/>
      <charset val="1"/>
      <family val="2"/>
      <color rgb="00000000"/>
      <sz val="12"/>
    </font>
    <font>
      <name val="Calibri"/>
      <charset val="1"/>
      <family val="2"/>
      <b val="true"/>
      <color rgb="00000080"/>
      <sz val="11"/>
    </font>
    <font>
      <name val="Calibri"/>
      <charset val="1"/>
      <family val="2"/>
      <b val="true"/>
      <color rgb="00008000"/>
      <sz val="11"/>
    </font>
    <font>
      <name val="Calibri"/>
      <charset val="1"/>
      <family val="2"/>
      <b val="true"/>
      <color rgb="00008000"/>
      <sz val="10"/>
    </font>
    <font>
      <name val="Arial"/>
      <charset val="1"/>
      <family val="2"/>
      <b val="true"/>
      <sz val="20"/>
    </font>
    <font>
      <name val="Arial"/>
      <charset val="1"/>
      <family val="2"/>
      <b val="true"/>
      <color rgb="00FF0000"/>
      <sz val="12"/>
    </font>
    <font>
      <name val="Arial"/>
      <charset val="1"/>
      <family val="2"/>
      <b val="true"/>
      <color rgb="00000080"/>
      <sz val="10"/>
    </font>
    <font>
      <name val="Arial"/>
      <charset val="1"/>
      <family val="2"/>
      <sz val="18"/>
    </font>
    <font>
      <name val="Arial"/>
      <charset val="1"/>
      <family val="2"/>
      <b val="true"/>
      <sz val="11"/>
    </font>
    <font>
      <name val="Arial"/>
      <charset val="1"/>
      <family val="2"/>
      <b val="true"/>
      <shadow val="true"/>
      <sz val="11"/>
    </font>
    <font>
      <name val="Calibri"/>
      <charset val="1"/>
      <family val="2"/>
      <b val="true"/>
      <sz val="20"/>
    </font>
    <font>
      <name val="Calibri"/>
      <charset val="1"/>
      <family val="2"/>
      <b val="true"/>
      <sz val="16"/>
    </font>
    <font>
      <name val="Calibri"/>
      <charset val="1"/>
      <family val="2"/>
      <b val="true"/>
      <sz val="18"/>
    </font>
    <font>
      <name val="Calibri"/>
      <charset val="1"/>
      <family val="2"/>
      <b val="true"/>
      <sz val="14"/>
    </font>
    <font>
      <name val="Calibri"/>
      <charset val="1"/>
      <family val="2"/>
      <b val="true"/>
      <sz val="10"/>
      <vertAlign val="superscript"/>
    </font>
    <font>
      <name val="Calibri"/>
      <charset val="1"/>
      <family val="2"/>
      <sz val="20"/>
    </font>
    <font>
      <name val="Calibri"/>
      <charset val="1"/>
      <family val="2"/>
      <color rgb="00000000"/>
      <sz val="11"/>
      <vertAlign val="superscript"/>
    </font>
  </fonts>
  <fills count="27">
    <fill>
      <patternFill patternType="none"/>
    </fill>
    <fill>
      <patternFill patternType="gray125"/>
    </fill>
    <fill>
      <patternFill patternType="solid">
        <fgColor rgb="00CCFFCC"/>
        <bgColor rgb="00CCFFFF"/>
      </patternFill>
    </fill>
    <fill>
      <patternFill patternType="solid">
        <fgColor rgb="00000000"/>
        <bgColor rgb="00003300"/>
      </patternFill>
    </fill>
    <fill>
      <patternFill patternType="solid">
        <fgColor rgb="00000080"/>
        <bgColor rgb="00000080"/>
      </patternFill>
    </fill>
    <fill>
      <patternFill patternType="solid">
        <fgColor rgb="00CCCCFF"/>
        <bgColor rgb="00C0C0C0"/>
      </patternFill>
    </fill>
    <fill>
      <patternFill patternType="solid">
        <fgColor rgb="00FFFFFF"/>
        <bgColor rgb="00FFFFCC"/>
      </patternFill>
    </fill>
    <fill>
      <patternFill patternType="solid">
        <fgColor rgb="00FFFF99"/>
        <bgColor rgb="00FFFFCC"/>
      </patternFill>
    </fill>
    <fill>
      <patternFill patternType="solid">
        <fgColor rgb="0000CCFF"/>
        <bgColor rgb="0033CCCC"/>
      </patternFill>
    </fill>
    <fill>
      <patternFill patternType="solid">
        <fgColor rgb="00FFCC00"/>
        <bgColor rgb="00FFFF00"/>
      </patternFill>
    </fill>
    <fill>
      <patternFill patternType="solid">
        <fgColor rgb="00FFCC99"/>
        <bgColor rgb="00C0C0C0"/>
      </patternFill>
    </fill>
    <fill>
      <patternFill patternType="solid">
        <fgColor rgb="0099CCFF"/>
        <bgColor rgb="00CCCCFF"/>
      </patternFill>
    </fill>
    <fill>
      <patternFill patternType="solid">
        <fgColor rgb="003366FF"/>
        <bgColor rgb="000066CC"/>
      </patternFill>
    </fill>
    <fill>
      <patternFill patternType="solid">
        <fgColor rgb="00FF6600"/>
        <bgColor rgb="00FF9900"/>
      </patternFill>
    </fill>
    <fill>
      <patternFill patternType="solid">
        <fgColor rgb="00CCFFFF"/>
        <bgColor rgb="00CCFFFF"/>
      </patternFill>
    </fill>
    <fill>
      <patternFill patternType="solid">
        <fgColor rgb="00C0C0C0"/>
        <bgColor rgb="00CCCCFF"/>
      </patternFill>
    </fill>
    <fill>
      <patternFill patternType="solid">
        <fgColor rgb="00CC99FF"/>
        <bgColor rgb="009999FF"/>
      </patternFill>
    </fill>
    <fill>
      <patternFill patternType="solid">
        <fgColor rgb="00993300"/>
        <bgColor rgb="00993366"/>
      </patternFill>
    </fill>
    <fill>
      <patternFill patternType="solid">
        <fgColor rgb="0033CCCC"/>
        <bgColor rgb="0000CCFF"/>
      </patternFill>
    </fill>
    <fill>
      <patternFill patternType="solid">
        <fgColor rgb="0099CC00"/>
        <bgColor rgb="00FFCC00"/>
      </patternFill>
    </fill>
    <fill>
      <patternFill patternType="solid">
        <fgColor rgb="0000FF00"/>
        <bgColor rgb="0033CCCC"/>
      </patternFill>
    </fill>
    <fill>
      <patternFill patternType="solid">
        <fgColor rgb="00FFFF00"/>
        <bgColor rgb="00FFFF00"/>
      </patternFill>
    </fill>
    <fill>
      <patternFill patternType="solid">
        <fgColor rgb="00FFFFCC"/>
        <bgColor rgb="00FFFFFF"/>
      </patternFill>
    </fill>
    <fill>
      <patternFill patternType="solid">
        <fgColor rgb="00333399"/>
        <bgColor rgb="00003366"/>
      </patternFill>
    </fill>
    <fill>
      <patternFill patternType="solid">
        <fgColor rgb="009999FF"/>
        <bgColor rgb="00CC99FF"/>
      </patternFill>
    </fill>
    <fill>
      <patternFill patternType="solid">
        <fgColor rgb="00808080"/>
        <bgColor rgb="00969696"/>
      </patternFill>
    </fill>
    <fill>
      <patternFill patternType="solid">
        <fgColor rgb="00333333"/>
        <bgColor rgb="00333300"/>
      </patternFill>
    </fill>
  </fills>
  <borders count="94">
    <border diagonalDown="false" diagonalUp="false">
      <left/>
      <right/>
      <top/>
      <bottom/>
      <diagonal/>
    </border>
    <border diagonalDown="false" diagonalUp="false">
      <left/>
      <right/>
      <top/>
      <bottom style="medium">
        <color rgb="004F81BD"/>
      </bottom>
      <diagonal/>
    </border>
    <border diagonalDown="false" diagonalUp="false">
      <left style="medium"/>
      <right style="medium"/>
      <top style="medium"/>
      <bottom style="medium"/>
      <diagonal/>
    </border>
    <border diagonalDown="false" diagonalUp="false">
      <left style="medium"/>
      <right/>
      <top style="medium"/>
      <bottom style="medium"/>
      <diagonal/>
    </border>
    <border diagonalDown="false" diagonalUp="false">
      <left/>
      <right/>
      <top style="medium"/>
      <bottom style="medium"/>
      <diagonal/>
    </border>
    <border diagonalDown="false" diagonalUp="false">
      <left style="medium"/>
      <right style="thin"/>
      <top style="medium"/>
      <bottom style="medium"/>
      <diagonal/>
    </border>
    <border diagonalDown="false" diagonalUp="false">
      <left style="thin"/>
      <right style="medium"/>
      <top style="medium"/>
      <bottom style="medium"/>
      <diagonal/>
    </border>
    <border diagonalDown="false" diagonalUp="false">
      <left style="medium"/>
      <right style="thin"/>
      <top style="thin"/>
      <bottom style="thin"/>
      <diagonal/>
    </border>
    <border diagonalDown="false" diagonalUp="false">
      <left style="thin"/>
      <right style="medium"/>
      <top style="medium"/>
      <bottom style="thin"/>
      <diagonal/>
    </border>
    <border diagonalDown="false" diagonalUp="false">
      <left style="thin"/>
      <right style="medium"/>
      <top style="thin"/>
      <bottom style="thin"/>
      <diagonal/>
    </border>
    <border diagonalDown="false" diagonalUp="false">
      <left style="thin"/>
      <right style="thin"/>
      <top style="thin"/>
      <bottom style="thin"/>
      <diagonal/>
    </border>
    <border diagonalDown="false" diagonalUp="false">
      <left style="medium"/>
      <right style="thin"/>
      <top style="thin"/>
      <bottom style="medium"/>
      <diagonal/>
    </border>
    <border diagonalDown="false" diagonalUp="false">
      <left style="thin"/>
      <right style="thin"/>
      <top style="thin"/>
      <bottom style="medium"/>
      <diagonal/>
    </border>
    <border diagonalDown="false" diagonalUp="false">
      <left style="medium"/>
      <right style="thin"/>
      <top style="medium"/>
      <bottom style="thin"/>
      <diagonal/>
    </border>
    <border diagonalDown="false" diagonalUp="false">
      <left style="medium"/>
      <right style="medium"/>
      <top style="medium"/>
      <bottom style="thin"/>
      <diagonal/>
    </border>
    <border diagonalDown="false" diagonalUp="false">
      <left style="medium"/>
      <right style="thin"/>
      <top style="thin"/>
      <bottom style="double"/>
      <diagonal/>
    </border>
    <border diagonalDown="false" diagonalUp="false">
      <left style="thin"/>
      <right style="medium"/>
      <top style="thin"/>
      <bottom style="double"/>
      <diagonal/>
    </border>
    <border diagonalDown="false" diagonalUp="false">
      <left style="medium"/>
      <right style="thin"/>
      <top/>
      <bottom style="thin"/>
      <diagonal/>
    </border>
    <border diagonalDown="false" diagonalUp="false">
      <left style="thin"/>
      <right style="medium"/>
      <top/>
      <bottom style="thin"/>
      <diagonal/>
    </border>
    <border diagonalDown="false" diagonalUp="false">
      <left style="thin"/>
      <right style="medium"/>
      <top style="thin"/>
      <bottom style="medium"/>
      <diagonal/>
    </border>
    <border diagonalDown="false" diagonalUp="false">
      <left style="thin"/>
      <right style="thin"/>
      <top style="medium"/>
      <bottom style="medium"/>
      <diagonal/>
    </border>
    <border diagonalDown="false" diagonalUp="false">
      <left style="thin"/>
      <right style="thin"/>
      <top/>
      <bottom style="thin"/>
      <diagonal/>
    </border>
    <border diagonalDown="false" diagonalUp="false">
      <left style="thin"/>
      <right style="thin"/>
      <top style="thin"/>
      <bottom style="double"/>
      <diagonal/>
    </border>
    <border diagonalDown="false" diagonalUp="false">
      <left style="medium"/>
      <right style="thin"/>
      <top/>
      <bottom style="medium"/>
      <diagonal/>
    </border>
    <border diagonalDown="false" diagonalUp="false">
      <left style="thin"/>
      <right style="thin"/>
      <top/>
      <bottom style="medium"/>
      <diagonal/>
    </border>
    <border diagonalDown="false" diagonalUp="false">
      <left style="thin"/>
      <right style="medium"/>
      <top/>
      <bottom style="medium"/>
      <diagonal/>
    </border>
    <border diagonalDown="false" diagonalUp="false">
      <left style="thin"/>
      <right style="thin"/>
      <top style="medium"/>
      <bottom/>
      <diagonal/>
    </border>
    <border diagonalDown="false" diagonalUp="false">
      <left style="thin"/>
      <right style="thin"/>
      <top style="medium"/>
      <bottom style="thin"/>
      <diagonal/>
    </border>
    <border diagonalDown="false" diagonalUp="false">
      <left/>
      <right style="thin"/>
      <top style="medium"/>
      <bottom style="thin"/>
      <diagonal/>
    </border>
    <border diagonalDown="false" diagonalUp="false">
      <left/>
      <right style="thin"/>
      <top style="thin"/>
      <bottom style="thin"/>
      <diagonal/>
    </border>
    <border diagonalDown="false" diagonalUp="false">
      <left/>
      <right style="thin"/>
      <top style="thin"/>
      <bottom style="medium"/>
      <diagonal/>
    </border>
    <border diagonalDown="false" diagonalUp="false">
      <left/>
      <right style="thin"/>
      <top/>
      <bottom style="medium"/>
      <diagonal/>
    </border>
    <border diagonalDown="false" diagonalUp="false">
      <left style="thin"/>
      <right style="thin"/>
      <top style="thin"/>
      <bottom/>
      <diagonal/>
    </border>
    <border diagonalDown="false" diagonalUp="false">
      <left style="thin"/>
      <right/>
      <top style="thin"/>
      <bottom style="thin"/>
      <diagonal/>
    </border>
    <border diagonalDown="false" diagonalUp="false">
      <left style="medium"/>
      <right style="thin"/>
      <top style="medium"/>
      <bottom style="double"/>
      <diagonal/>
    </border>
    <border diagonalDown="false" diagonalUp="false">
      <left style="thin"/>
      <right style="thin"/>
      <top style="medium"/>
      <bottom style="double"/>
      <diagonal/>
    </border>
    <border diagonalDown="false" diagonalUp="false">
      <left style="thin"/>
      <right style="medium"/>
      <top style="medium"/>
      <bottom style="double"/>
      <diagonal/>
    </border>
    <border diagonalDown="false" diagonalUp="false">
      <left style="medium"/>
      <right style="thin"/>
      <top style="medium"/>
      <bottom/>
      <diagonal/>
    </border>
    <border diagonalDown="false" diagonalUp="false">
      <left style="thin"/>
      <right style="medium"/>
      <top style="medium"/>
      <bottom/>
      <diagonal/>
    </border>
    <border diagonalDown="false" diagonalUp="false">
      <left style="medium"/>
      <right style="thin"/>
      <top style="medium"/>
      <bottom style="medium">
        <color rgb="00FF0000"/>
      </bottom>
      <diagonal/>
    </border>
    <border diagonalDown="false" diagonalUp="false">
      <left style="thin"/>
      <right style="thin"/>
      <top style="medium"/>
      <bottom style="medium">
        <color rgb="00FF0000"/>
      </bottom>
      <diagonal/>
    </border>
    <border diagonalDown="false" diagonalUp="false">
      <left style="thin"/>
      <right style="medium"/>
      <top style="medium"/>
      <bottom style="medium">
        <color rgb="00FF0000"/>
      </bottom>
      <diagonal/>
    </border>
    <border diagonalDown="false" diagonalUp="false">
      <left style="thin"/>
      <right style="thin"/>
      <top style="thin"/>
      <bottom style="medium">
        <color rgb="00FF0000"/>
      </bottom>
      <diagonal/>
    </border>
    <border diagonalDown="false" diagonalUp="false">
      <left style="medium"/>
      <right style="medium"/>
      <top style="medium"/>
      <bottom style="medium">
        <color rgb="00FF0000"/>
      </bottom>
      <diagonal/>
    </border>
    <border diagonalDown="false" diagonalUp="false">
      <left style="medium"/>
      <right style="thin"/>
      <top style="thin"/>
      <bottom style="medium">
        <color rgb="00FF0000"/>
      </bottom>
      <diagonal/>
    </border>
    <border diagonalDown="false" diagonalUp="false">
      <left style="thin"/>
      <right style="medium"/>
      <top style="thin"/>
      <bottom style="medium">
        <color rgb="00FF0000"/>
      </bottom>
      <diagonal/>
    </border>
    <border diagonalDown="false" diagonalUp="false">
      <left style="medium"/>
      <right style="medium"/>
      <top/>
      <bottom style="thin"/>
      <diagonal/>
    </border>
    <border diagonalDown="false" diagonalUp="false">
      <left style="medium"/>
      <right style="medium"/>
      <top style="thin"/>
      <bottom style="thin"/>
      <diagonal/>
    </border>
    <border diagonalDown="false" diagonalUp="false">
      <left style="medium"/>
      <right style="medium"/>
      <top style="thin"/>
      <bottom style="medium"/>
      <diagonal/>
    </border>
    <border diagonalDown="false" diagonalUp="false">
      <left style="medium"/>
      <right/>
      <top style="medium"/>
      <bottom style="medium">
        <color rgb="00FF0000"/>
      </bottom>
      <diagonal/>
    </border>
    <border diagonalDown="false" diagonalUp="false">
      <left/>
      <right/>
      <top style="medium"/>
      <bottom style="thin"/>
      <diagonal/>
    </border>
    <border diagonalDown="false" diagonalUp="false">
      <left/>
      <right style="thin"/>
      <top style="thin"/>
      <bottom style="medium">
        <color rgb="00FF0000"/>
      </bottom>
      <diagonal/>
    </border>
    <border diagonalDown="false" diagonalUp="false">
      <left style="thin"/>
      <right/>
      <top style="thin"/>
      <bottom style="medium">
        <color rgb="00FF0000"/>
      </bottom>
      <diagonal/>
    </border>
    <border diagonalDown="false" diagonalUp="false">
      <left style="medium"/>
      <right/>
      <top/>
      <bottom style="medium"/>
      <diagonal/>
    </border>
    <border diagonalDown="false" diagonalUp="false">
      <left style="thin"/>
      <right/>
      <top/>
      <bottom style="medium"/>
      <diagonal/>
    </border>
    <border diagonalDown="false" diagonalUp="false">
      <left style="medium"/>
      <right style="medium"/>
      <top/>
      <bottom style="medium"/>
      <diagonal/>
    </border>
    <border diagonalDown="false" diagonalUp="false">
      <left/>
      <right style="thin"/>
      <top style="medium"/>
      <bottom style="double"/>
      <diagonal/>
    </border>
    <border diagonalDown="false" diagonalUp="false">
      <left/>
      <right style="thin"/>
      <top/>
      <bottom style="thin"/>
      <diagonal/>
    </border>
    <border diagonalDown="false" diagonalUp="false">
      <left style="medium"/>
      <right style="thin"/>
      <top style="thin"/>
      <bottom/>
      <diagonal/>
    </border>
    <border diagonalDown="false" diagonalUp="false">
      <left style="thin"/>
      <right style="medium"/>
      <top style="thin"/>
      <bottom/>
      <diagonal/>
    </border>
    <border diagonalDown="false" diagonalUp="false">
      <left/>
      <right style="thin"/>
      <top style="thin"/>
      <bottom/>
      <diagonal/>
    </border>
    <border diagonalDown="false" diagonalUp="false">
      <left style="medium"/>
      <right style="medium"/>
      <top style="medium"/>
      <bottom/>
      <diagonal/>
    </border>
    <border diagonalDown="false" diagonalUp="false">
      <left style="medium"/>
      <right style="thin"/>
      <top style="medium">
        <color rgb="00FF0000"/>
      </top>
      <bottom style="medium">
        <color rgb="00FF0000"/>
      </bottom>
      <diagonal/>
    </border>
    <border diagonalDown="false" diagonalUp="false">
      <left style="thin"/>
      <right style="thin"/>
      <top style="medium">
        <color rgb="00FF0000"/>
      </top>
      <bottom style="medium">
        <color rgb="00FF0000"/>
      </bottom>
      <diagonal/>
    </border>
    <border diagonalDown="false" diagonalUp="false">
      <left style="medium"/>
      <right style="medium"/>
      <top style="medium">
        <color rgb="00FF0000"/>
      </top>
      <bottom style="medium">
        <color rgb="00FF0000"/>
      </bottom>
      <diagonal/>
    </border>
    <border diagonalDown="false" diagonalUp="false">
      <left style="medium"/>
      <right style="medium"/>
      <top style="medium"/>
      <bottom style="double"/>
      <diagonal/>
    </border>
    <border diagonalDown="false" diagonalUp="false">
      <left style="medium"/>
      <right style="thin"/>
      <top/>
      <bottom style="double"/>
      <diagonal/>
    </border>
    <border diagonalDown="false" diagonalUp="false">
      <left style="thin"/>
      <right style="thin"/>
      <top/>
      <bottom style="double"/>
      <diagonal/>
    </border>
    <border diagonalDown="false" diagonalUp="false">
      <left style="thin"/>
      <right/>
      <top/>
      <bottom style="double"/>
      <diagonal/>
    </border>
    <border diagonalDown="false" diagonalUp="false">
      <left style="thin"/>
      <right style="medium"/>
      <top/>
      <bottom style="double"/>
      <diagonal/>
    </border>
    <border diagonalDown="false" diagonalUp="false">
      <left/>
      <right style="thin"/>
      <top/>
      <bottom style="double"/>
      <diagonal/>
    </border>
    <border diagonalDown="false" diagonalUp="false">
      <left style="thin"/>
      <right/>
      <top style="medium"/>
      <bottom style="double"/>
      <diagonal/>
    </border>
    <border diagonalDown="false" diagonalUp="false">
      <left style="thin"/>
      <right/>
      <top/>
      <bottom style="thin"/>
      <diagonal/>
    </border>
    <border diagonalDown="false" diagonalUp="false">
      <left style="medium"/>
      <right style="medium"/>
      <top style="thin"/>
      <bottom style="double"/>
      <diagonal/>
    </border>
    <border diagonalDown="false" diagonalUp="false">
      <left style="thin"/>
      <right/>
      <top style="thin"/>
      <bottom style="double"/>
      <diagonal/>
    </border>
    <border diagonalDown="false" diagonalUp="false">
      <left style="thin"/>
      <right style="thin"/>
      <top style="double"/>
      <bottom style="medium"/>
      <diagonal/>
    </border>
    <border diagonalDown="false" diagonalUp="false">
      <left/>
      <right style="medium"/>
      <top/>
      <bottom/>
      <diagonal/>
    </border>
    <border diagonalDown="false" diagonalUp="false">
      <left/>
      <right style="medium"/>
      <top style="medium"/>
      <bottom style="medium"/>
      <diagonal/>
    </border>
    <border diagonalDown="false" diagonalUp="false">
      <left style="thin"/>
      <right/>
      <top style="medium"/>
      <bottom style="thin"/>
      <diagonal/>
    </border>
    <border diagonalDown="false" diagonalUp="false">
      <left style="thick">
        <color rgb="00008000"/>
      </left>
      <right style="thick">
        <color rgb="00008000"/>
      </right>
      <top style="medium"/>
      <bottom style="thin"/>
      <diagonal/>
    </border>
    <border diagonalDown="false" diagonalUp="false">
      <left/>
      <right style="medium"/>
      <top style="medium"/>
      <bottom style="thin"/>
      <diagonal/>
    </border>
    <border diagonalDown="false" diagonalUp="false">
      <left style="thin"/>
      <right/>
      <top style="thin"/>
      <bottom style="medium"/>
      <diagonal/>
    </border>
    <border diagonalDown="false" diagonalUp="false">
      <left style="thick">
        <color rgb="00008000"/>
      </left>
      <right style="thin"/>
      <top style="thin"/>
      <bottom style="medium"/>
      <diagonal/>
    </border>
    <border diagonalDown="false" diagonalUp="false">
      <left style="thin"/>
      <right style="thick">
        <color rgb="00008000"/>
      </right>
      <top style="thin"/>
      <bottom style="medium"/>
      <diagonal/>
    </border>
    <border diagonalDown="false" diagonalUp="false">
      <left style="medium">
        <color rgb="00FF0000"/>
      </left>
      <right style="medium">
        <color rgb="00FF0000"/>
      </right>
      <top/>
      <bottom style="thin"/>
      <diagonal/>
    </border>
    <border diagonalDown="false" diagonalUp="false">
      <left style="thick">
        <color rgb="00008000"/>
      </left>
      <right style="thin"/>
      <top/>
      <bottom style="thin"/>
      <diagonal/>
    </border>
    <border diagonalDown="false" diagonalUp="false">
      <left style="thin"/>
      <right style="thick">
        <color rgb="00008000"/>
      </right>
      <top/>
      <bottom style="thin"/>
      <diagonal/>
    </border>
    <border diagonalDown="false" diagonalUp="false">
      <left style="medium">
        <color rgb="00FF0000"/>
      </left>
      <right style="medium">
        <color rgb="00FF0000"/>
      </right>
      <top style="thin"/>
      <bottom style="thin"/>
      <diagonal/>
    </border>
    <border diagonalDown="false" diagonalUp="false">
      <left style="thick">
        <color rgb="00008000"/>
      </left>
      <right style="thin"/>
      <top style="thin"/>
      <bottom style="thin"/>
      <diagonal/>
    </border>
    <border diagonalDown="false" diagonalUp="false">
      <left style="thin"/>
      <right style="thick">
        <color rgb="00008000"/>
      </right>
      <top style="thin"/>
      <bottom style="thin"/>
      <diagonal/>
    </border>
    <border diagonalDown="false" diagonalUp="false">
      <left style="thick">
        <color rgb="00008000"/>
      </left>
      <right style="thick">
        <color rgb="00008000"/>
      </right>
      <top style="thin"/>
      <bottom style="thin"/>
      <diagonal/>
    </border>
    <border diagonalDown="false" diagonalUp="false">
      <left/>
      <right style="medium"/>
      <top style="thin"/>
      <bottom style="thin"/>
      <diagonal/>
    </border>
    <border diagonalDown="false" diagonalUp="false">
      <left style="medium">
        <color rgb="00FF0000"/>
      </left>
      <right style="medium">
        <color rgb="00FF0000"/>
      </right>
      <top style="thin"/>
      <bottom style="medium"/>
      <diagonal/>
    </border>
    <border diagonalDown="false" diagonalUp="false">
      <left style="medium"/>
      <right/>
      <top/>
      <bottom/>
      <diagonal/>
    </border>
  </borders>
  <cellStyleXfs count="27">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41"/>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42"/>
    <xf applyAlignment="true" applyBorder="true" applyFont="true" applyProtection="true" borderId="0" fillId="0" fontId="0" numFmtId="164">
      <alignment horizontal="general" indent="0" shrinkToFit="false" textRotation="0" vertical="bottom" wrapText="false"/>
      <protection hidden="false" locked="true"/>
    </xf>
    <xf applyAlignment="true" applyBorder="true" applyFont="true" applyProtection="true" borderId="0" fillId="0" fontId="4" numFmtId="164">
      <alignment horizontal="general" indent="0" shrinkToFit="false" textRotation="0" vertical="bottom" wrapText="false"/>
      <protection hidden="false" locked="true"/>
    </xf>
    <xf applyAlignment="true" applyBorder="true" applyFont="true" applyProtection="true" borderId="0" fillId="0" fontId="4" numFmtId="164">
      <alignment horizontal="general" indent="0" shrinkToFit="false" textRotation="0" vertical="bottom" wrapText="false"/>
      <protection hidden="false" locked="true"/>
    </xf>
    <xf applyAlignment="true" applyBorder="true" applyFont="true" applyProtection="true" borderId="0" fillId="0" fontId="5" numFmtId="164">
      <alignment horizontal="general" indent="0" shrinkToFit="false" textRotation="0" vertical="bottom" wrapText="false"/>
      <protection hidden="false" locked="true"/>
    </xf>
    <xf applyAlignment="true" applyBorder="true" applyFont="true" applyProtection="true" borderId="0" fillId="0" fontId="5" numFmtId="164">
      <alignment horizontal="general" indent="0" shrinkToFit="false" textRotation="0" vertical="bottom" wrapText="false"/>
      <protection hidden="false" locked="true"/>
    </xf>
    <xf applyAlignment="true" applyBorder="true" applyFont="true" applyProtection="true" borderId="0" fillId="0" fontId="5" numFmtId="164">
      <alignment horizontal="general" indent="0" shrinkToFit="false" textRotation="0" vertical="bottom" wrapText="false"/>
      <protection hidden="false" locked="true"/>
    </xf>
    <xf applyAlignment="true" applyBorder="true" applyFont="true" applyProtection="true" borderId="0" fillId="0" fontId="0" numFmtId="165">
      <alignment horizontal="general" indent="0" shrinkToFit="false" textRotation="0" vertical="bottom" wrapText="false"/>
      <protection hidden="false" locked="true"/>
    </xf>
    <xf applyAlignment="true" applyBorder="true" applyFont="true" applyProtection="true" borderId="0" fillId="0" fontId="0" numFmtId="165">
      <alignment horizontal="general" indent="0" shrinkToFit="false" textRotation="0" vertical="bottom" wrapText="false"/>
      <protection hidden="false" locked="true"/>
    </xf>
  </cellStyleXfs>
  <cellXfs count="1105">
    <xf applyAlignment="false" applyBorder="false" applyFont="false" applyProtection="false" borderId="0" fillId="0" fontId="0" numFmtId="164" xfId="0"/>
    <xf applyAlignment="true" applyBorder="false" applyFont="true" applyProtection="false" borderId="0" fillId="0" fontId="6" numFmtId="164" xfId="0">
      <alignment horizontal="center" indent="0" shrinkToFit="false" textRotation="0" vertical="top" wrapText="true"/>
    </xf>
    <xf applyAlignment="true" applyBorder="true" applyFont="true" applyProtection="false" borderId="1" fillId="0" fontId="7" numFmtId="164" xfId="0">
      <alignment horizontal="center" indent="0" shrinkToFit="false" textRotation="0" vertical="bottom" wrapText="true"/>
    </xf>
    <xf applyAlignment="true" applyBorder="false" applyFont="true" applyProtection="false" borderId="0" fillId="0" fontId="8" numFmtId="164" xfId="0">
      <alignment horizontal="center" indent="0" shrinkToFit="false" textRotation="0" vertical="bottom" wrapText="true"/>
    </xf>
    <xf applyAlignment="true" applyBorder="false" applyFont="true" applyProtection="false" borderId="0" fillId="0" fontId="9" numFmtId="164" xfId="0">
      <alignment horizontal="center" indent="0" shrinkToFit="false" textRotation="0" vertical="bottom" wrapText="true"/>
    </xf>
    <xf applyAlignment="true" applyBorder="false" applyFont="true" applyProtection="false" borderId="0" fillId="0" fontId="9" numFmtId="166" xfId="0">
      <alignment horizontal="center" indent="0" shrinkToFit="false" textRotation="0" vertical="bottom" wrapText="true"/>
    </xf>
    <xf applyAlignment="true" applyBorder="false" applyFont="true" applyProtection="false" borderId="0" fillId="0" fontId="0" numFmtId="164" xfId="0">
      <alignment horizontal="general" indent="0" shrinkToFit="false" textRotation="0" vertical="bottom" wrapText="true"/>
    </xf>
    <xf applyAlignment="true" applyBorder="false" applyFont="false" applyProtection="false" borderId="0" fillId="0" fontId="5" numFmtId="164" xfId="24">
      <alignment horizontal="general" indent="0" shrinkToFit="false" textRotation="0" vertical="center" wrapText="false"/>
    </xf>
    <xf applyAlignment="true" applyBorder="true" applyFont="true" applyProtection="true" borderId="0" fillId="0" fontId="10" numFmtId="164" xfId="24">
      <alignment horizontal="center" indent="0" shrinkToFit="false" textRotation="0" vertical="center" wrapText="false"/>
      <protection hidden="false" locked="true"/>
    </xf>
    <xf applyAlignment="true" applyBorder="true" applyFont="true" applyProtection="true" borderId="0" fillId="0" fontId="11" numFmtId="164" xfId="24">
      <alignment horizontal="center" indent="0" shrinkToFit="false" textRotation="0" vertical="center" wrapText="false"/>
      <protection hidden="false" locked="true"/>
    </xf>
    <xf applyAlignment="true" applyBorder="true" applyFont="true" applyProtection="true" borderId="0" fillId="0" fontId="12" numFmtId="164" xfId="24">
      <alignment horizontal="center" indent="0" shrinkToFit="false" textRotation="0" vertical="center" wrapText="false"/>
      <protection hidden="false" locked="true"/>
    </xf>
    <xf applyAlignment="false" applyBorder="false" applyFont="false" applyProtection="false" borderId="0" fillId="0" fontId="5" numFmtId="164" xfId="24"/>
    <xf applyAlignment="true" applyBorder="true" applyFont="true" applyProtection="false" borderId="0" fillId="0" fontId="13" numFmtId="164" xfId="24">
      <alignment horizontal="center" indent="0" shrinkToFit="false" textRotation="0" vertical="center" wrapText="true"/>
    </xf>
    <xf applyAlignment="true" applyBorder="true" applyFont="true" applyProtection="false" borderId="0" fillId="0" fontId="13" numFmtId="164" xfId="24">
      <alignment horizontal="left" indent="0" shrinkToFit="false" textRotation="0" vertical="center" wrapText="true"/>
    </xf>
    <xf applyAlignment="true" applyBorder="true" applyFont="true" applyProtection="false" borderId="0" fillId="0" fontId="5" numFmtId="164" xfId="24">
      <alignment horizontal="left" indent="0" shrinkToFit="false" textRotation="0" vertical="center" wrapText="true"/>
    </xf>
    <xf applyAlignment="true" applyBorder="true" applyFont="true" applyProtection="true" borderId="2" fillId="2" fontId="5" numFmtId="164" xfId="24">
      <alignment horizontal="general" indent="0" shrinkToFit="false" textRotation="0" vertical="center" wrapText="true"/>
      <protection hidden="false" locked="false"/>
    </xf>
    <xf applyAlignment="true" applyBorder="true" applyFont="false" applyProtection="false" borderId="0" fillId="0" fontId="5" numFmtId="164" xfId="24">
      <alignment horizontal="left" indent="0" shrinkToFit="false" textRotation="0" vertical="center" wrapText="false"/>
    </xf>
    <xf applyAlignment="true" applyBorder="true" applyFont="false" applyProtection="false" borderId="0" fillId="0" fontId="5" numFmtId="164" xfId="24">
      <alignment horizontal="general" indent="0" shrinkToFit="false" textRotation="0" vertical="center" wrapText="false"/>
    </xf>
    <xf applyAlignment="true" applyBorder="true" applyFont="false" applyProtection="false" borderId="0" fillId="0" fontId="5" numFmtId="164" xfId="24">
      <alignment horizontal="left" indent="0" shrinkToFit="false" textRotation="0" vertical="center" wrapText="true"/>
    </xf>
    <xf applyAlignment="true" applyBorder="true" applyFont="true" applyProtection="true" borderId="2" fillId="2" fontId="4" numFmtId="164" xfId="20">
      <alignment horizontal="general" indent="0" shrinkToFit="false" textRotation="0" vertical="center" wrapText="true"/>
      <protection hidden="false" locked="false"/>
    </xf>
    <xf applyAlignment="true" applyBorder="true" applyFont="false" applyProtection="true" borderId="0" fillId="0" fontId="5" numFmtId="164" xfId="24">
      <alignment horizontal="general" indent="0" shrinkToFit="false" textRotation="0" vertical="center" wrapText="true"/>
      <protection hidden="false" locked="false"/>
    </xf>
    <xf applyAlignment="true" applyBorder="true" applyFont="false" applyProtection="true" borderId="2" fillId="2" fontId="5" numFmtId="167" xfId="24">
      <alignment horizontal="center" indent="0" shrinkToFit="false" textRotation="0" vertical="center" wrapText="true"/>
      <protection hidden="false" locked="false"/>
    </xf>
    <xf applyAlignment="true" applyBorder="true" applyFont="true" applyProtection="true" borderId="0" fillId="0" fontId="15" numFmtId="168" xfId="24">
      <alignment horizontal="center" indent="0" shrinkToFit="false" textRotation="0" vertical="center" wrapText="true"/>
      <protection hidden="false" locked="true"/>
    </xf>
    <xf applyAlignment="true" applyBorder="true" applyFont="false" applyProtection="true" borderId="0" fillId="0" fontId="5" numFmtId="164" xfId="24">
      <alignment horizontal="left" indent="0" shrinkToFit="false" textRotation="0" vertical="center" wrapText="true"/>
      <protection hidden="false" locked="false"/>
    </xf>
    <xf applyAlignment="true" applyBorder="true" applyFont="true" applyProtection="false" borderId="0" fillId="0" fontId="13" numFmtId="164" xfId="24">
      <alignment horizontal="center" indent="0" shrinkToFit="false" textRotation="0" vertical="center" wrapText="false"/>
    </xf>
    <xf applyAlignment="true" applyBorder="true" applyFont="true" applyProtection="false" borderId="0" fillId="0" fontId="13" numFmtId="164" xfId="24">
      <alignment horizontal="general" indent="0" shrinkToFit="false" textRotation="0" vertical="top" wrapText="true"/>
    </xf>
    <xf applyAlignment="true" applyBorder="true" applyFont="false" applyProtection="false" borderId="2" fillId="2" fontId="5" numFmtId="164" xfId="24">
      <alignment horizontal="general" indent="0" shrinkToFit="false" textRotation="0" vertical="center" wrapText="true"/>
    </xf>
    <xf applyAlignment="true" applyBorder="true" applyFont="true" applyProtection="false" borderId="0" fillId="0" fontId="16" numFmtId="164" xfId="24">
      <alignment horizontal="center" indent="0" shrinkToFit="false" textRotation="0" vertical="center" wrapText="true"/>
    </xf>
    <xf applyAlignment="true" applyBorder="true" applyFont="false" applyProtection="false" borderId="0" fillId="0" fontId="5" numFmtId="164" xfId="24">
      <alignment horizontal="general" indent="0" shrinkToFit="false" textRotation="0" vertical="center" wrapText="true"/>
    </xf>
    <xf applyAlignment="true" applyBorder="true" applyFont="false" applyProtection="false" borderId="0" fillId="0" fontId="5" numFmtId="164" xfId="24">
      <alignment horizontal="center" indent="0" shrinkToFit="false" textRotation="0" vertical="center" wrapText="true"/>
    </xf>
    <xf applyAlignment="true" applyBorder="true" applyFont="false" applyProtection="false" borderId="0" fillId="0" fontId="5" numFmtId="164" xfId="24">
      <alignment horizontal="center" indent="0" shrinkToFit="false" textRotation="0" vertical="center" wrapText="false"/>
    </xf>
    <xf applyAlignment="true" applyBorder="true" applyFont="true" applyProtection="false" borderId="0" fillId="0" fontId="13" numFmtId="164" xfId="24">
      <alignment horizontal="center" indent="0" shrinkToFit="false" textRotation="0" vertical="top" wrapText="true"/>
    </xf>
    <xf applyAlignment="true" applyBorder="false" applyFont="true" applyProtection="false" borderId="0" fillId="0" fontId="13" numFmtId="164" xfId="24">
      <alignment horizontal="general" indent="0" shrinkToFit="false" textRotation="0" vertical="center" wrapText="false"/>
    </xf>
    <xf applyAlignment="true" applyBorder="true" applyFont="true" applyProtection="true" borderId="2" fillId="2" fontId="5" numFmtId="164" xfId="24">
      <alignment horizontal="left" indent="0" shrinkToFit="false" textRotation="0" vertical="center" wrapText="true"/>
      <protection hidden="false" locked="false"/>
    </xf>
    <xf applyAlignment="true" applyBorder="true" applyFont="true" applyProtection="false" borderId="0" fillId="0" fontId="13" numFmtId="164" xfId="24">
      <alignment horizontal="general" indent="0" shrinkToFit="false" textRotation="0" vertical="center" wrapText="false"/>
    </xf>
    <xf applyAlignment="true" applyBorder="true" applyFont="true" applyProtection="true" borderId="3" fillId="2" fontId="5" numFmtId="164" xfId="24">
      <alignment horizontal="left" indent="0" shrinkToFit="false" textRotation="0" vertical="center" wrapText="true"/>
      <protection hidden="false" locked="false"/>
    </xf>
    <xf applyAlignment="true" applyBorder="true" applyFont="false" applyProtection="false" borderId="4" fillId="0" fontId="5" numFmtId="164" xfId="24">
      <alignment horizontal="center" indent="0" shrinkToFit="false" textRotation="0" vertical="center" wrapText="true"/>
    </xf>
    <xf applyAlignment="false" applyBorder="false" applyFont="false" applyProtection="false" borderId="0" fillId="0" fontId="5" numFmtId="164" xfId="24"/>
    <xf applyAlignment="true" applyBorder="true" applyFont="true" applyProtection="true" borderId="0" fillId="0" fontId="11" numFmtId="164" xfId="24">
      <alignment horizontal="center" indent="0" shrinkToFit="false" textRotation="0" vertical="center" wrapText="false"/>
      <protection hidden="false" locked="false"/>
    </xf>
    <xf applyAlignment="true" applyBorder="true" applyFont="true" applyProtection="true" borderId="0" fillId="0" fontId="12" numFmtId="164" xfId="24">
      <alignment horizontal="center" indent="0" shrinkToFit="false" textRotation="0" vertical="center" wrapText="false"/>
      <protection hidden="false" locked="false"/>
    </xf>
    <xf applyAlignment="true" applyBorder="false" applyFont="true" applyProtection="true" borderId="0" fillId="0" fontId="5" numFmtId="164" xfId="24">
      <alignment horizontal="center" indent="0" shrinkToFit="false" textRotation="0" vertical="center" wrapText="false"/>
      <protection hidden="false" locked="false"/>
    </xf>
    <xf applyAlignment="true" applyBorder="false" applyFont="false" applyProtection="true" borderId="0" fillId="0" fontId="5" numFmtId="164" xfId="24">
      <alignment horizontal="center" indent="0" shrinkToFit="false" textRotation="0" vertical="center" wrapText="false"/>
      <protection hidden="false" locked="false"/>
    </xf>
    <xf applyAlignment="true" applyBorder="false" applyFont="false" applyProtection="true" borderId="0" fillId="0" fontId="5" numFmtId="164" xfId="24">
      <alignment horizontal="general" indent="0" shrinkToFit="false" textRotation="0" vertical="center" wrapText="false"/>
      <protection hidden="false" locked="false"/>
    </xf>
    <xf applyAlignment="true" applyBorder="true" applyFont="true" applyProtection="true" borderId="0" fillId="0" fontId="13" numFmtId="164" xfId="24">
      <alignment horizontal="center" indent="0" shrinkToFit="false" textRotation="0" vertical="center" wrapText="true"/>
      <protection hidden="false" locked="false"/>
    </xf>
    <xf applyAlignment="true" applyBorder="false" applyFont="true" applyProtection="true" borderId="0" fillId="0" fontId="13" numFmtId="164" xfId="24">
      <alignment horizontal="center" indent="0" shrinkToFit="false" textRotation="0" vertical="center" wrapText="true"/>
      <protection hidden="false" locked="false"/>
    </xf>
    <xf applyAlignment="true" applyBorder="false" applyFont="false" applyProtection="false" borderId="0" fillId="0" fontId="5" numFmtId="164" xfId="24">
      <alignment horizontal="center" indent="0" shrinkToFit="false" textRotation="0" vertical="center" wrapText="true"/>
    </xf>
    <xf applyAlignment="true" applyBorder="true" applyFont="true" applyProtection="false" borderId="5" fillId="0" fontId="13" numFmtId="164" xfId="24">
      <alignment horizontal="general" indent="0" shrinkToFit="false" textRotation="0" vertical="center" wrapText="true"/>
    </xf>
    <xf applyAlignment="true" applyBorder="true" applyFont="true" applyProtection="false" borderId="6" fillId="2" fontId="13" numFmtId="164" xfId="24">
      <alignment horizontal="left" indent="2" shrinkToFit="false" textRotation="0" vertical="center" wrapText="true"/>
    </xf>
    <xf applyAlignment="true" applyBorder="true" applyFont="true" applyProtection="false" borderId="7" fillId="0" fontId="13" numFmtId="164" xfId="24">
      <alignment horizontal="general" indent="0" shrinkToFit="false" textRotation="0" vertical="center" wrapText="true"/>
    </xf>
    <xf applyAlignment="true" applyBorder="true" applyFont="true" applyProtection="true" borderId="8" fillId="2" fontId="5" numFmtId="164" xfId="24">
      <alignment horizontal="left" indent="2" shrinkToFit="false" textRotation="0" vertical="center" wrapText="true"/>
      <protection hidden="false" locked="true"/>
    </xf>
    <xf applyAlignment="true" applyBorder="true" applyFont="true" applyProtection="true" borderId="9" fillId="2" fontId="5" numFmtId="164" xfId="24">
      <alignment horizontal="left" indent="2" shrinkToFit="false" textRotation="0" vertical="center" wrapText="true"/>
      <protection hidden="false" locked="true"/>
    </xf>
    <xf applyAlignment="true" applyBorder="true" applyFont="true" applyProtection="true" borderId="7" fillId="0" fontId="13" numFmtId="164" xfId="24">
      <alignment horizontal="left" indent="0" shrinkToFit="false" textRotation="0" vertical="center" wrapText="true"/>
      <protection hidden="false" locked="true"/>
    </xf>
    <xf applyAlignment="true" applyBorder="true" applyFont="true" applyProtection="true" borderId="10" fillId="0" fontId="17" numFmtId="164" xfId="24">
      <alignment horizontal="center" indent="0" shrinkToFit="false" textRotation="0" vertical="center" wrapText="false"/>
      <protection hidden="false" locked="true"/>
    </xf>
    <xf applyAlignment="true" applyBorder="true" applyFont="true" applyProtection="true" borderId="10" fillId="2" fontId="18" numFmtId="164" xfId="24">
      <alignment horizontal="justify" indent="0" shrinkToFit="false" textRotation="0" vertical="bottom" wrapText="true"/>
      <protection hidden="false" locked="true"/>
    </xf>
    <xf applyAlignment="true" applyBorder="true" applyFont="true" applyProtection="true" borderId="11" fillId="0" fontId="13" numFmtId="164" xfId="24">
      <alignment horizontal="left" indent="0" shrinkToFit="false" textRotation="0" vertical="center" wrapText="true"/>
      <protection hidden="false" locked="true"/>
    </xf>
    <xf applyAlignment="true" applyBorder="true" applyFont="true" applyProtection="true" borderId="10" fillId="2" fontId="18" numFmtId="164" xfId="24">
      <alignment horizontal="general" indent="0" shrinkToFit="false" textRotation="0" vertical="bottom" wrapText="true"/>
      <protection hidden="false" locked="true"/>
    </xf>
    <xf applyAlignment="true" applyBorder="true" applyFont="true" applyProtection="true" borderId="12" fillId="0" fontId="17" numFmtId="164" xfId="24">
      <alignment horizontal="center" indent="0" shrinkToFit="false" textRotation="0" vertical="center" wrapText="false"/>
      <protection hidden="false" locked="true"/>
    </xf>
    <xf applyAlignment="true" applyBorder="true" applyFont="true" applyProtection="true" borderId="10" fillId="0" fontId="17" numFmtId="164" xfId="24">
      <alignment horizontal="center" indent="0" shrinkToFit="false" textRotation="0" vertical="center" wrapText="false"/>
      <protection hidden="false" locked="true"/>
    </xf>
    <xf applyAlignment="true" applyBorder="true" applyFont="true" applyProtection="true" borderId="9" fillId="2" fontId="5" numFmtId="164" xfId="24">
      <alignment horizontal="general" indent="0" shrinkToFit="false" textRotation="0" vertical="center" wrapText="true"/>
      <protection hidden="false" locked="true"/>
    </xf>
    <xf applyAlignment="true" applyBorder="true" applyFont="true" applyProtection="true" borderId="10" fillId="0" fontId="19" numFmtId="164" xfId="24">
      <alignment horizontal="center" indent="0" shrinkToFit="false" textRotation="0" vertical="center" wrapText="false"/>
      <protection hidden="false" locked="true"/>
    </xf>
    <xf applyAlignment="true" applyBorder="true" applyFont="true" applyProtection="false" borderId="0" fillId="0" fontId="5" numFmtId="164" xfId="24">
      <alignment horizontal="left" indent="0" shrinkToFit="false" textRotation="0" vertical="bottom" wrapText="false"/>
    </xf>
    <xf applyAlignment="false" applyBorder="false" applyFont="false" applyProtection="true" borderId="0" fillId="0" fontId="5" numFmtId="164" xfId="24">
      <protection hidden="false" locked="true"/>
    </xf>
    <xf applyAlignment="true" applyBorder="false" applyFont="true" applyProtection="true" borderId="0" fillId="0" fontId="11" numFmtId="164" xfId="24">
      <alignment horizontal="center" indent="0" shrinkToFit="false" textRotation="0" vertical="center" wrapText="true"/>
      <protection hidden="false" locked="true"/>
    </xf>
    <xf applyAlignment="true" applyBorder="false" applyFont="true" applyProtection="true" borderId="0" fillId="0" fontId="12" numFmtId="164" xfId="24">
      <alignment horizontal="center" indent="0" shrinkToFit="false" textRotation="0" vertical="center" wrapText="true"/>
      <protection hidden="false" locked="true"/>
    </xf>
    <xf applyAlignment="true" applyBorder="false" applyFont="true" applyProtection="true" borderId="0" fillId="0" fontId="12" numFmtId="164" xfId="24">
      <alignment horizontal="left" indent="0" shrinkToFit="false" textRotation="0" vertical="center" wrapText="true"/>
      <protection hidden="false" locked="true"/>
    </xf>
    <xf applyAlignment="true" applyBorder="false" applyFont="true" applyProtection="true" borderId="0" fillId="0" fontId="13" numFmtId="164" xfId="24">
      <alignment horizontal="center" indent="0" shrinkToFit="false" textRotation="0" vertical="center" wrapText="true"/>
      <protection hidden="false" locked="true"/>
    </xf>
    <xf applyAlignment="true" applyBorder="true" applyFont="true" applyProtection="true" borderId="5" fillId="0" fontId="13" numFmtId="164" xfId="24">
      <alignment horizontal="general" indent="0" shrinkToFit="false" textRotation="0" vertical="center" wrapText="true"/>
      <protection hidden="false" locked="true"/>
    </xf>
    <xf applyAlignment="true" applyBorder="true" applyFont="true" applyProtection="true" borderId="13" fillId="0" fontId="13" numFmtId="164" xfId="24">
      <alignment horizontal="general" indent="0" shrinkToFit="false" textRotation="0" vertical="center" wrapText="true"/>
      <protection hidden="false" locked="false"/>
    </xf>
    <xf applyAlignment="true" applyBorder="true" applyFont="true" applyProtection="true" borderId="7" fillId="0" fontId="13" numFmtId="164" xfId="24">
      <alignment horizontal="left" indent="0" shrinkToFit="false" textRotation="0" vertical="center" wrapText="true"/>
      <protection hidden="false" locked="false"/>
    </xf>
    <xf applyAlignment="true" applyBorder="true" applyFont="true" applyProtection="true" borderId="10" fillId="0" fontId="21" numFmtId="164" xfId="24">
      <alignment horizontal="justify" indent="0" shrinkToFit="false" textRotation="0" vertical="center" wrapText="true"/>
      <protection hidden="false" locked="true"/>
    </xf>
    <xf applyAlignment="true" applyBorder="true" applyFont="true" applyProtection="true" borderId="10" fillId="0" fontId="21" numFmtId="164" xfId="24">
      <alignment horizontal="justify" indent="0" shrinkToFit="false" textRotation="0" vertical="bottom" wrapText="true"/>
      <protection hidden="false" locked="true"/>
    </xf>
    <xf applyAlignment="true" applyBorder="true" applyFont="true" applyProtection="true" borderId="10" fillId="0" fontId="21" numFmtId="164" xfId="24">
      <alignment horizontal="justify" indent="0" shrinkToFit="false" textRotation="0" vertical="bottom" wrapText="false"/>
      <protection hidden="false" locked="true"/>
    </xf>
    <xf applyAlignment="true" applyBorder="true" applyFont="true" applyProtection="true" borderId="10" fillId="0" fontId="13" numFmtId="164" xfId="24">
      <alignment horizontal="general" indent="0" shrinkToFit="false" textRotation="0" vertical="bottom" wrapText="true"/>
      <protection hidden="false" locked="true"/>
    </xf>
    <xf applyAlignment="true" applyBorder="true" applyFont="true" applyProtection="true" borderId="10" fillId="0" fontId="21" numFmtId="164" xfId="24">
      <alignment horizontal="general" indent="0" shrinkToFit="false" textRotation="0" vertical="bottom" wrapText="true"/>
      <protection hidden="false" locked="true"/>
    </xf>
    <xf applyAlignment="true" applyBorder="false" applyFont="true" applyProtection="true" borderId="0" fillId="0" fontId="22" numFmtId="164" xfId="24">
      <alignment horizontal="left" indent="0" shrinkToFit="false" textRotation="0" vertical="bottom" wrapText="false"/>
      <protection hidden="false" locked="true"/>
    </xf>
    <xf applyAlignment="true" applyBorder="true" applyFont="true" applyProtection="false" borderId="0" fillId="0" fontId="11" numFmtId="164" xfId="0">
      <alignment horizontal="center" indent="0" shrinkToFit="false" textRotation="0" vertical="bottom" wrapText="false"/>
    </xf>
    <xf applyAlignment="true" applyBorder="false" applyFont="true" applyProtection="false" borderId="0" fillId="0" fontId="11" numFmtId="164" xfId="0">
      <alignment horizontal="center" indent="0" shrinkToFit="false" textRotation="0" vertical="bottom" wrapText="false"/>
    </xf>
    <xf applyAlignment="true" applyBorder="true" applyFont="true" applyProtection="false" borderId="0" fillId="0" fontId="23" numFmtId="164" xfId="0">
      <alignment horizontal="center" indent="0" shrinkToFit="false" textRotation="0" vertical="bottom" wrapText="false"/>
    </xf>
    <xf applyAlignment="true" applyBorder="false" applyFont="true" applyProtection="false" borderId="0" fillId="0" fontId="23" numFmtId="164" xfId="0">
      <alignment horizontal="center" indent="0" shrinkToFit="false" textRotation="0" vertical="bottom" wrapText="false"/>
    </xf>
    <xf applyAlignment="true" applyBorder="true" applyFont="true" applyProtection="false" borderId="0" fillId="3" fontId="24" numFmtId="164" xfId="0">
      <alignment horizontal="center" indent="0" shrinkToFit="false" textRotation="0" vertical="center" wrapText="true"/>
    </xf>
    <xf applyAlignment="true" applyBorder="false" applyFont="false" applyProtection="false" borderId="0" fillId="0" fontId="0" numFmtId="164" xfId="0">
      <alignment horizontal="center" indent="0" shrinkToFit="false" textRotation="0" vertical="center" wrapText="true"/>
    </xf>
    <xf applyAlignment="true" applyBorder="true" applyFont="true" applyProtection="false" borderId="14" fillId="0" fontId="25" numFmtId="164" xfId="0">
      <alignment horizontal="center" indent="0" shrinkToFit="false" textRotation="0" vertical="center" wrapText="true"/>
    </xf>
    <xf applyAlignment="true" applyBorder="false" applyFont="true" applyProtection="false" borderId="0" fillId="3" fontId="24" numFmtId="164" xfId="0">
      <alignment horizontal="center" indent="0" shrinkToFit="false" textRotation="0" vertical="center" wrapText="false"/>
    </xf>
    <xf applyAlignment="true" applyBorder="false" applyFont="true" applyProtection="false" borderId="0" fillId="0" fontId="24" numFmtId="164" xfId="0">
      <alignment horizontal="center" indent="0" shrinkToFit="false" textRotation="0" vertical="center" wrapText="false"/>
    </xf>
    <xf applyAlignment="true" applyBorder="true" applyFont="true" applyProtection="false" borderId="15" fillId="0" fontId="25" numFmtId="164" xfId="0">
      <alignment horizontal="center" indent="0" shrinkToFit="false" textRotation="0" vertical="center" wrapText="false"/>
    </xf>
    <xf applyAlignment="true" applyBorder="true" applyFont="true" applyProtection="false" borderId="16" fillId="0" fontId="25" numFmtId="164" xfId="0">
      <alignment horizontal="center" indent="0" shrinkToFit="false" textRotation="0" vertical="center" wrapText="false"/>
    </xf>
    <xf applyAlignment="true" applyBorder="true" applyFont="true" applyProtection="false" borderId="13" fillId="0" fontId="0" numFmtId="164" xfId="0">
      <alignment horizontal="general" indent="0" shrinkToFit="false" textRotation="0" vertical="center" wrapText="false"/>
    </xf>
    <xf applyAlignment="true" applyBorder="true" applyFont="true" applyProtection="false" borderId="8" fillId="0" fontId="26" numFmtId="169" xfId="0">
      <alignment horizontal="center" indent="0" shrinkToFit="false" textRotation="0" vertical="center" wrapText="false"/>
    </xf>
    <xf applyAlignment="true" applyBorder="true" applyFont="true" applyProtection="false" borderId="0" fillId="0" fontId="26" numFmtId="169" xfId="0">
      <alignment horizontal="center" indent="0" shrinkToFit="false" textRotation="0" vertical="center" wrapText="false"/>
    </xf>
    <xf applyAlignment="true" applyBorder="true" applyFont="false" applyProtection="false" borderId="17" fillId="0" fontId="0" numFmtId="169" xfId="0">
      <alignment horizontal="center" indent="0" shrinkToFit="false" textRotation="0" vertical="center" wrapText="false"/>
    </xf>
    <xf applyAlignment="true" applyBorder="true" applyFont="false" applyProtection="false" borderId="18" fillId="0" fontId="0" numFmtId="169" xfId="0">
      <alignment horizontal="center" indent="0" shrinkToFit="false" textRotation="0" vertical="center" wrapText="false"/>
    </xf>
    <xf applyAlignment="true" applyBorder="true" applyFont="true" applyProtection="false" borderId="7" fillId="0" fontId="0" numFmtId="164" xfId="0">
      <alignment horizontal="general" indent="0" shrinkToFit="false" textRotation="0" vertical="center" wrapText="false"/>
    </xf>
    <xf applyAlignment="true" applyBorder="true" applyFont="true" applyProtection="false" borderId="9" fillId="0" fontId="26" numFmtId="169" xfId="0">
      <alignment horizontal="center" indent="0" shrinkToFit="false" textRotation="0" vertical="center" wrapText="false"/>
    </xf>
    <xf applyAlignment="true" applyBorder="true" applyFont="false" applyProtection="false" borderId="7" fillId="0" fontId="0" numFmtId="169" xfId="0">
      <alignment horizontal="center" indent="0" shrinkToFit="false" textRotation="0" vertical="center" wrapText="false"/>
    </xf>
    <xf applyAlignment="true" applyBorder="true" applyFont="false" applyProtection="false" borderId="9" fillId="0" fontId="0" numFmtId="169" xfId="0">
      <alignment horizontal="center" indent="0" shrinkToFit="false" textRotation="0" vertical="center" wrapText="false"/>
    </xf>
    <xf applyAlignment="true" applyBorder="true" applyFont="true" applyProtection="false" borderId="11" fillId="0" fontId="0" numFmtId="164" xfId="0">
      <alignment horizontal="general" indent="0" shrinkToFit="false" textRotation="0" vertical="center" wrapText="false"/>
    </xf>
    <xf applyAlignment="true" applyBorder="true" applyFont="true" applyProtection="false" borderId="19" fillId="0" fontId="26" numFmtId="169" xfId="0">
      <alignment horizontal="center" indent="0" shrinkToFit="false" textRotation="0" vertical="center" wrapText="false"/>
    </xf>
    <xf applyAlignment="true" applyBorder="true" applyFont="false" applyProtection="false" borderId="11" fillId="0" fontId="0" numFmtId="169" xfId="0">
      <alignment horizontal="center" indent="0" shrinkToFit="false" textRotation="0" vertical="center" wrapText="false"/>
    </xf>
    <xf applyAlignment="true" applyBorder="true" applyFont="false" applyProtection="false" borderId="19" fillId="0" fontId="0" numFmtId="169" xfId="0">
      <alignment horizontal="center" indent="0" shrinkToFit="false" textRotation="0" vertical="center" wrapText="false"/>
    </xf>
    <xf applyAlignment="true" applyBorder="false" applyFont="true" applyProtection="true" borderId="0" fillId="0" fontId="0" numFmtId="164" xfId="0">
      <alignment horizontal="general" indent="0" shrinkToFit="false" textRotation="0" vertical="center" wrapText="false"/>
      <protection hidden="false" locked="true"/>
    </xf>
    <xf applyAlignment="true" applyBorder="false" applyFont="true" applyProtection="true" borderId="0" fillId="0" fontId="27" numFmtId="164" xfId="0">
      <alignment horizontal="general" indent="0" shrinkToFit="false" textRotation="0" vertical="center" wrapText="false"/>
      <protection hidden="false" locked="true"/>
    </xf>
    <xf applyAlignment="true" applyBorder="false" applyFont="true" applyProtection="true" borderId="0" fillId="0" fontId="28" numFmtId="164" xfId="0">
      <alignment horizontal="left" indent="0" shrinkToFit="false" textRotation="0" vertical="center" wrapText="false"/>
      <protection hidden="false" locked="true"/>
    </xf>
    <xf applyAlignment="true" applyBorder="true" applyFont="true" applyProtection="true" borderId="5" fillId="4" fontId="29" numFmtId="164" xfId="0">
      <alignment horizontal="center" indent="0" shrinkToFit="false" textRotation="0" vertical="center" wrapText="true"/>
      <protection hidden="false" locked="true"/>
    </xf>
    <xf applyAlignment="true" applyBorder="true" applyFont="true" applyProtection="true" borderId="20" fillId="4" fontId="29" numFmtId="164" xfId="0">
      <alignment horizontal="center" indent="0" shrinkToFit="false" textRotation="0" vertical="center" wrapText="true"/>
      <protection hidden="false" locked="true"/>
    </xf>
    <xf applyAlignment="true" applyBorder="true" applyFont="true" applyProtection="true" borderId="20" fillId="4" fontId="30" numFmtId="164" xfId="0">
      <alignment horizontal="center" indent="0" shrinkToFit="false" textRotation="0" vertical="center" wrapText="true"/>
      <protection hidden="false" locked="true"/>
    </xf>
    <xf applyAlignment="true" applyBorder="true" applyFont="true" applyProtection="true" borderId="20" fillId="4" fontId="30" numFmtId="170" xfId="0">
      <alignment horizontal="center" indent="0" shrinkToFit="false" textRotation="0" vertical="center" wrapText="true"/>
      <protection hidden="false" locked="true"/>
    </xf>
    <xf applyAlignment="true" applyBorder="true" applyFont="true" applyProtection="true" borderId="6" fillId="4" fontId="30" numFmtId="164" xfId="0">
      <alignment horizontal="center" indent="0" shrinkToFit="false" textRotation="0" vertical="center" wrapText="true"/>
      <protection hidden="false" locked="true"/>
    </xf>
    <xf applyAlignment="true" applyBorder="true" applyFont="true" applyProtection="true" borderId="17" fillId="5" fontId="31" numFmtId="164" xfId="0">
      <alignment horizontal="general" indent="0" shrinkToFit="false" textRotation="0" vertical="center" wrapText="true"/>
      <protection hidden="false" locked="true"/>
    </xf>
    <xf applyAlignment="true" applyBorder="true" applyFont="true" applyProtection="true" borderId="21" fillId="5" fontId="31" numFmtId="164" xfId="0">
      <alignment horizontal="general" indent="0" shrinkToFit="false" textRotation="0" vertical="center" wrapText="true"/>
      <protection hidden="false" locked="true"/>
    </xf>
    <xf applyAlignment="true" applyBorder="true" applyFont="true" applyProtection="true" borderId="10" fillId="6" fontId="32" numFmtId="169" xfId="0">
      <alignment horizontal="center" indent="0" shrinkToFit="false" textRotation="0" vertical="center" wrapText="true"/>
      <protection hidden="false" locked="false"/>
    </xf>
    <xf applyAlignment="true" applyBorder="true" applyFont="true" applyProtection="true" borderId="21" fillId="7" fontId="32" numFmtId="164" xfId="19">
      <alignment horizontal="center" indent="0" shrinkToFit="false" textRotation="0" vertical="center" wrapText="false"/>
      <protection hidden="false" locked="true"/>
    </xf>
    <xf applyAlignment="true" applyBorder="true" applyFont="true" applyProtection="true" borderId="21" fillId="7" fontId="32" numFmtId="164" xfId="0">
      <alignment horizontal="center" indent="0" shrinkToFit="false" textRotation="0" vertical="center" wrapText="false"/>
      <protection hidden="false" locked="true"/>
    </xf>
    <xf applyAlignment="true" applyBorder="true" applyFont="true" applyProtection="true" borderId="18" fillId="7" fontId="32" numFmtId="164" xfId="19">
      <alignment horizontal="center" indent="0" shrinkToFit="false" textRotation="0" vertical="center" wrapText="false"/>
      <protection hidden="false" locked="true"/>
    </xf>
    <xf applyAlignment="true" applyBorder="true" applyFont="true" applyProtection="true" borderId="7" fillId="5" fontId="31" numFmtId="164" xfId="0">
      <alignment horizontal="general" indent="0" shrinkToFit="false" textRotation="0" vertical="center" wrapText="true"/>
      <protection hidden="false" locked="true"/>
    </xf>
    <xf applyAlignment="true" applyBorder="true" applyFont="true" applyProtection="true" borderId="10" fillId="5" fontId="31" numFmtId="164" xfId="0">
      <alignment horizontal="general" indent="0" shrinkToFit="false" textRotation="0" vertical="center" wrapText="true"/>
      <protection hidden="false" locked="true"/>
    </xf>
    <xf applyAlignment="true" applyBorder="true" applyFont="true" applyProtection="true" borderId="10" fillId="7" fontId="32" numFmtId="164" xfId="19">
      <alignment horizontal="center" indent="0" shrinkToFit="false" textRotation="0" vertical="center" wrapText="false"/>
      <protection hidden="false" locked="true"/>
    </xf>
    <xf applyAlignment="true" applyBorder="true" applyFont="true" applyProtection="true" borderId="10" fillId="7" fontId="32" numFmtId="164" xfId="0">
      <alignment horizontal="center" indent="0" shrinkToFit="false" textRotation="0" vertical="center" wrapText="false"/>
      <protection hidden="false" locked="true"/>
    </xf>
    <xf applyAlignment="true" applyBorder="true" applyFont="true" applyProtection="true" borderId="21" fillId="7" fontId="33" numFmtId="164" xfId="19">
      <alignment horizontal="center" indent="0" shrinkToFit="false" textRotation="0" vertical="center" wrapText="false"/>
      <protection hidden="false" locked="true"/>
    </xf>
    <xf applyAlignment="true" applyBorder="true" applyFont="true" applyProtection="true" borderId="18" fillId="7" fontId="33" numFmtId="164" xfId="19">
      <alignment horizontal="center" indent="0" shrinkToFit="false" textRotation="0" vertical="center" wrapText="false"/>
      <protection hidden="false" locked="true"/>
    </xf>
    <xf applyAlignment="true" applyBorder="true" applyFont="true" applyProtection="true" borderId="10" fillId="6" fontId="32" numFmtId="164" xfId="0">
      <alignment horizontal="center" indent="0" shrinkToFit="false" textRotation="0" vertical="center" wrapText="true"/>
      <protection hidden="false" locked="false"/>
    </xf>
    <xf applyAlignment="true" applyBorder="true" applyFont="true" applyProtection="true" borderId="15" fillId="5" fontId="31" numFmtId="164" xfId="0">
      <alignment horizontal="general" indent="0" shrinkToFit="false" textRotation="0" vertical="center" wrapText="true"/>
      <protection hidden="false" locked="true"/>
    </xf>
    <xf applyAlignment="true" applyBorder="true" applyFont="true" applyProtection="true" borderId="22" fillId="5" fontId="31" numFmtId="164" xfId="0">
      <alignment horizontal="general" indent="0" shrinkToFit="false" textRotation="0" vertical="center" wrapText="true"/>
      <protection hidden="false" locked="true"/>
    </xf>
    <xf applyAlignment="true" applyBorder="true" applyFont="true" applyProtection="true" borderId="22" fillId="6" fontId="32" numFmtId="169" xfId="0">
      <alignment horizontal="center" indent="0" shrinkToFit="false" textRotation="0" vertical="center" wrapText="true"/>
      <protection hidden="false" locked="false"/>
    </xf>
    <xf applyAlignment="true" applyBorder="true" applyFont="true" applyProtection="true" borderId="22" fillId="7" fontId="32" numFmtId="164" xfId="19">
      <alignment horizontal="center" indent="0" shrinkToFit="false" textRotation="0" vertical="center" wrapText="false"/>
      <protection hidden="false" locked="true"/>
    </xf>
    <xf applyAlignment="true" applyBorder="true" applyFont="true" applyProtection="true" borderId="22" fillId="7" fontId="32" numFmtId="164" xfId="0">
      <alignment horizontal="center" indent="0" shrinkToFit="false" textRotation="0" vertical="center" wrapText="false"/>
      <protection hidden="false" locked="true"/>
    </xf>
    <xf applyAlignment="true" applyBorder="true" applyFont="true" applyProtection="true" borderId="22" fillId="7" fontId="33" numFmtId="164" xfId="19">
      <alignment horizontal="center" indent="0" shrinkToFit="false" textRotation="0" vertical="center" wrapText="false"/>
      <protection hidden="false" locked="true"/>
    </xf>
    <xf applyAlignment="true" applyBorder="true" applyFont="true" applyProtection="true" borderId="16" fillId="7" fontId="33" numFmtId="164" xfId="19">
      <alignment horizontal="center" indent="0" shrinkToFit="false" textRotation="0" vertical="center" wrapText="false"/>
      <protection hidden="false" locked="true"/>
    </xf>
    <xf applyAlignment="true" applyBorder="true" applyFont="true" applyProtection="true" borderId="23" fillId="4" fontId="34" numFmtId="164" xfId="0">
      <alignment horizontal="general" indent="0" shrinkToFit="false" textRotation="0" vertical="center" wrapText="true"/>
      <protection hidden="false" locked="true"/>
    </xf>
    <xf applyAlignment="true" applyBorder="true" applyFont="true" applyProtection="true" borderId="24" fillId="4" fontId="29" numFmtId="164" xfId="0">
      <alignment horizontal="general" indent="0" shrinkToFit="false" textRotation="0" vertical="center" wrapText="true"/>
      <protection hidden="false" locked="true"/>
    </xf>
    <xf applyAlignment="true" applyBorder="true" applyFont="true" applyProtection="true" borderId="24" fillId="4" fontId="29" numFmtId="169" xfId="0">
      <alignment horizontal="center" indent="0" shrinkToFit="false" textRotation="0" vertical="center" wrapText="false"/>
      <protection hidden="false" locked="true"/>
    </xf>
    <xf applyAlignment="true" applyBorder="true" applyFont="true" applyProtection="true" borderId="24" fillId="4" fontId="29" numFmtId="164" xfId="0">
      <alignment horizontal="center" indent="0" shrinkToFit="false" textRotation="0" vertical="center" wrapText="false"/>
      <protection hidden="false" locked="true"/>
    </xf>
    <xf applyAlignment="true" applyBorder="true" applyFont="true" applyProtection="true" borderId="25" fillId="4" fontId="29" numFmtId="164" xfId="0">
      <alignment horizontal="center" indent="0" shrinkToFit="false" textRotation="0" vertical="center" wrapText="false"/>
      <protection hidden="false" locked="true"/>
    </xf>
    <xf applyAlignment="true" applyBorder="false" applyFont="true" applyProtection="true" borderId="0" fillId="0" fontId="31" numFmtId="164" xfId="0">
      <alignment horizontal="general" indent="0" shrinkToFit="false" textRotation="0" vertical="center" wrapText="false"/>
      <protection hidden="false" locked="true"/>
    </xf>
    <xf applyAlignment="true" applyBorder="false" applyFont="true" applyProtection="true" borderId="0" fillId="0" fontId="0" numFmtId="164" xfId="0">
      <alignment horizontal="general" indent="0" shrinkToFit="false" textRotation="0" vertical="center" wrapText="true"/>
      <protection hidden="false" locked="true"/>
    </xf>
    <xf applyAlignment="true" applyBorder="true" applyFont="true" applyProtection="true" borderId="0" fillId="0" fontId="9" numFmtId="164" xfId="0">
      <alignment horizontal="left" indent="0" shrinkToFit="false" textRotation="0" vertical="center" wrapText="true"/>
      <protection hidden="false" locked="true"/>
    </xf>
    <xf applyAlignment="true" applyBorder="false" applyFont="true" applyProtection="true" borderId="0" fillId="0" fontId="0" numFmtId="164" xfId="0">
      <alignment horizontal="general" indent="0" shrinkToFit="false" textRotation="0" vertical="center" wrapText="true"/>
      <protection hidden="false" locked="true"/>
    </xf>
    <xf applyAlignment="true" applyBorder="true" applyFont="true" applyProtection="true" borderId="5" fillId="4" fontId="35" numFmtId="164" xfId="0">
      <alignment horizontal="center" indent="0" shrinkToFit="false" textRotation="0" vertical="center" wrapText="true"/>
      <protection hidden="false" locked="true"/>
    </xf>
    <xf applyAlignment="true" applyBorder="true" applyFont="true" applyProtection="true" borderId="13" fillId="5" fontId="0" numFmtId="166" xfId="0">
      <alignment horizontal="center" indent="0" shrinkToFit="false" textRotation="0" vertical="center" wrapText="true"/>
      <protection hidden="false" locked="true"/>
    </xf>
    <xf applyAlignment="true" applyBorder="true" applyFont="true" applyProtection="true" borderId="26" fillId="5" fontId="0" numFmtId="164" xfId="0">
      <alignment horizontal="center" indent="0" shrinkToFit="false" textRotation="0" vertical="center" wrapText="true"/>
      <protection hidden="false" locked="true"/>
    </xf>
    <xf applyAlignment="true" applyBorder="true" applyFont="true" applyProtection="true" borderId="27" fillId="0" fontId="0" numFmtId="164" xfId="0">
      <alignment horizontal="general" indent="0" shrinkToFit="false" textRotation="0" vertical="center" wrapText="true"/>
      <protection hidden="false" locked="false"/>
    </xf>
    <xf applyAlignment="true" applyBorder="true" applyFont="true" applyProtection="true" borderId="27" fillId="6" fontId="36" numFmtId="169" xfId="0">
      <alignment horizontal="center" indent="0" shrinkToFit="false" textRotation="0" vertical="center" wrapText="true"/>
      <protection hidden="false" locked="false"/>
    </xf>
    <xf applyAlignment="true" applyBorder="true" applyFont="true" applyProtection="true" borderId="28" fillId="5" fontId="31" numFmtId="171" xfId="19">
      <alignment horizontal="center" indent="0" shrinkToFit="false" textRotation="0" vertical="center" wrapText="true"/>
      <protection hidden="false" locked="true"/>
    </xf>
    <xf applyAlignment="true" applyBorder="true" applyFont="true" applyProtection="true" borderId="8" fillId="5" fontId="31" numFmtId="171" xfId="19">
      <alignment horizontal="center" indent="0" shrinkToFit="false" textRotation="0" vertical="center" wrapText="true"/>
      <protection hidden="false" locked="true"/>
    </xf>
    <xf applyAlignment="true" applyBorder="true" applyFont="true" applyProtection="true" borderId="7" fillId="5" fontId="0" numFmtId="166" xfId="0">
      <alignment horizontal="center" indent="0" shrinkToFit="false" textRotation="0" vertical="center" wrapText="true"/>
      <protection hidden="false" locked="true"/>
    </xf>
    <xf applyAlignment="true" applyBorder="true" applyFont="true" applyProtection="true" borderId="10" fillId="5" fontId="0" numFmtId="164" xfId="0">
      <alignment horizontal="center" indent="0" shrinkToFit="false" textRotation="0" vertical="center" wrapText="true"/>
      <protection hidden="false" locked="true"/>
    </xf>
    <xf applyAlignment="true" applyBorder="true" applyFont="true" applyProtection="true" borderId="10" fillId="0" fontId="0" numFmtId="164" xfId="0">
      <alignment horizontal="general" indent="0" shrinkToFit="false" textRotation="0" vertical="center" wrapText="true"/>
      <protection hidden="false" locked="false"/>
    </xf>
    <xf applyAlignment="true" applyBorder="true" applyFont="true" applyProtection="true" borderId="10" fillId="6" fontId="36" numFmtId="169" xfId="0">
      <alignment horizontal="center" indent="0" shrinkToFit="false" textRotation="0" vertical="center" wrapText="true"/>
      <protection hidden="false" locked="false"/>
    </xf>
    <xf applyAlignment="true" applyBorder="true" applyFont="true" applyProtection="true" borderId="29" fillId="5" fontId="31" numFmtId="171" xfId="19">
      <alignment horizontal="center" indent="0" shrinkToFit="false" textRotation="0" vertical="center" wrapText="true"/>
      <protection hidden="false" locked="true"/>
    </xf>
    <xf applyAlignment="true" applyBorder="true" applyFont="true" applyProtection="true" borderId="9" fillId="5" fontId="31" numFmtId="171" xfId="0">
      <alignment horizontal="center" indent="0" shrinkToFit="false" textRotation="0" vertical="center" wrapText="true"/>
      <protection hidden="false" locked="true"/>
    </xf>
    <xf applyAlignment="true" applyBorder="true" applyFont="true" applyProtection="true" borderId="11" fillId="5" fontId="0" numFmtId="164" xfId="0">
      <alignment horizontal="center" indent="0" shrinkToFit="false" textRotation="0" vertical="center" wrapText="true"/>
      <protection hidden="false" locked="true"/>
    </xf>
    <xf applyAlignment="true" applyBorder="true" applyFont="true" applyProtection="true" borderId="12" fillId="6" fontId="36" numFmtId="169" xfId="0">
      <alignment horizontal="center" indent="0" shrinkToFit="false" textRotation="0" vertical="center" wrapText="true"/>
      <protection hidden="false" locked="false"/>
    </xf>
    <xf applyAlignment="true" applyBorder="true" applyFont="true" applyProtection="true" borderId="30" fillId="5" fontId="31" numFmtId="171" xfId="19">
      <alignment horizontal="center" indent="0" shrinkToFit="false" textRotation="0" vertical="center" wrapText="true"/>
      <protection hidden="false" locked="true"/>
    </xf>
    <xf applyAlignment="true" applyBorder="true" applyFont="true" applyProtection="true" borderId="19" fillId="5" fontId="31" numFmtId="171" xfId="0">
      <alignment horizontal="center" indent="0" shrinkToFit="false" textRotation="0" vertical="center" wrapText="true"/>
      <protection hidden="false" locked="true"/>
    </xf>
    <xf applyAlignment="true" applyBorder="true" applyFont="true" applyProtection="true" borderId="5" fillId="4" fontId="37" numFmtId="164" xfId="0">
      <alignment horizontal="center" indent="0" shrinkToFit="false" textRotation="0" vertical="center" wrapText="true"/>
      <protection hidden="false" locked="true"/>
    </xf>
    <xf applyAlignment="true" applyBorder="true" applyFont="true" applyProtection="true" borderId="24" fillId="4" fontId="34" numFmtId="169" xfId="0">
      <alignment horizontal="center" indent="0" shrinkToFit="false" textRotation="0" vertical="center" wrapText="true"/>
      <protection hidden="false" locked="true"/>
    </xf>
    <xf applyAlignment="true" applyBorder="true" applyFont="true" applyProtection="true" borderId="31" fillId="4" fontId="34" numFmtId="171" xfId="19">
      <alignment horizontal="center" indent="0" shrinkToFit="false" textRotation="0" vertical="center" wrapText="true"/>
      <protection hidden="false" locked="true"/>
    </xf>
    <xf applyAlignment="true" applyBorder="true" applyFont="true" applyProtection="true" borderId="25" fillId="4" fontId="34" numFmtId="164" xfId="0">
      <alignment horizontal="center" indent="0" shrinkToFit="false" textRotation="0" vertical="center" wrapText="true"/>
      <protection hidden="false" locked="true"/>
    </xf>
    <xf applyAlignment="true" applyBorder="true" applyFont="true" applyProtection="true" borderId="20" fillId="7" fontId="38" numFmtId="164" xfId="0">
      <alignment horizontal="center" indent="0" shrinkToFit="false" textRotation="0" vertical="center" wrapText="true"/>
      <protection hidden="false" locked="true"/>
    </xf>
    <xf applyAlignment="true" applyBorder="true" applyFont="true" applyProtection="true" borderId="6" fillId="4" fontId="29" numFmtId="164" xfId="0">
      <alignment horizontal="center" indent="0" shrinkToFit="false" textRotation="0" vertical="center" wrapText="true"/>
      <protection hidden="false" locked="true"/>
    </xf>
    <xf applyAlignment="true" applyBorder="true" applyFont="true" applyProtection="true" borderId="17" fillId="5" fontId="0" numFmtId="166" xfId="0">
      <alignment horizontal="center" indent="0" shrinkToFit="false" textRotation="0" vertical="center" wrapText="true"/>
      <protection hidden="false" locked="true"/>
    </xf>
    <xf applyAlignment="true" applyBorder="true" applyFont="true" applyProtection="true" borderId="32" fillId="5" fontId="0" numFmtId="164" xfId="0">
      <alignment horizontal="center" indent="0" shrinkToFit="false" textRotation="0" vertical="center" wrapText="true"/>
      <protection hidden="false" locked="true"/>
    </xf>
    <xf applyAlignment="true" applyBorder="true" applyFont="true" applyProtection="true" borderId="33" fillId="0" fontId="0" numFmtId="164" xfId="0">
      <alignment horizontal="general" indent="0" shrinkToFit="false" textRotation="0" vertical="center" wrapText="true"/>
      <protection hidden="false" locked="false"/>
    </xf>
    <xf applyAlignment="true" applyBorder="true" applyFont="true" applyProtection="true" borderId="10" fillId="0" fontId="0" numFmtId="169" xfId="0">
      <alignment horizontal="center" indent="0" shrinkToFit="false" textRotation="0" vertical="center" wrapText="false"/>
      <protection hidden="false" locked="false"/>
    </xf>
    <xf applyAlignment="true" applyBorder="true" applyFont="true" applyProtection="true" borderId="21" fillId="5" fontId="0" numFmtId="172" xfId="0">
      <alignment horizontal="center" indent="0" shrinkToFit="false" textRotation="0" vertical="center" wrapText="true"/>
      <protection hidden="false" locked="true"/>
    </xf>
    <xf applyAlignment="true" applyBorder="true" applyFont="true" applyProtection="true" borderId="21" fillId="5" fontId="0" numFmtId="171" xfId="19">
      <alignment horizontal="center" indent="0" shrinkToFit="false" textRotation="0" vertical="center" wrapText="true"/>
      <protection hidden="false" locked="true"/>
    </xf>
    <xf applyAlignment="true" applyBorder="true" applyFont="true" applyProtection="true" borderId="18" fillId="5" fontId="0" numFmtId="171" xfId="19">
      <alignment horizontal="center" indent="0" shrinkToFit="false" textRotation="0" vertical="center" wrapText="true"/>
      <protection hidden="false" locked="true"/>
    </xf>
    <xf applyAlignment="true" applyBorder="true" applyFont="true" applyProtection="true" borderId="10" fillId="5" fontId="0" numFmtId="172" xfId="0">
      <alignment horizontal="center" indent="0" shrinkToFit="false" textRotation="0" vertical="center" wrapText="true"/>
      <protection hidden="false" locked="true"/>
    </xf>
    <xf applyAlignment="true" applyBorder="true" applyFont="true" applyProtection="true" borderId="10" fillId="5" fontId="0" numFmtId="171" xfId="19">
      <alignment horizontal="center" indent="0" shrinkToFit="false" textRotation="0" vertical="center" wrapText="true"/>
      <protection hidden="false" locked="true"/>
    </xf>
    <xf applyAlignment="true" applyBorder="true" applyFont="true" applyProtection="true" borderId="9" fillId="5" fontId="0" numFmtId="171" xfId="19">
      <alignment horizontal="center" indent="0" shrinkToFit="false" textRotation="0" vertical="center" wrapText="true"/>
      <protection hidden="false" locked="true"/>
    </xf>
    <xf applyAlignment="true" applyBorder="true" applyFont="true" applyProtection="true" borderId="12" fillId="0" fontId="0" numFmtId="169" xfId="0">
      <alignment horizontal="center" indent="0" shrinkToFit="false" textRotation="0" vertical="center" wrapText="false"/>
      <protection hidden="false" locked="false"/>
    </xf>
    <xf applyAlignment="true" applyBorder="true" applyFont="true" applyProtection="true" borderId="12" fillId="5" fontId="0" numFmtId="172" xfId="0">
      <alignment horizontal="center" indent="0" shrinkToFit="false" textRotation="0" vertical="center" wrapText="true"/>
      <protection hidden="false" locked="true"/>
    </xf>
    <xf applyAlignment="true" applyBorder="true" applyFont="true" applyProtection="true" borderId="12" fillId="5" fontId="0" numFmtId="171" xfId="19">
      <alignment horizontal="center" indent="0" shrinkToFit="false" textRotation="0" vertical="center" wrapText="true"/>
      <protection hidden="false" locked="true"/>
    </xf>
    <xf applyAlignment="true" applyBorder="true" applyFont="true" applyProtection="true" borderId="19" fillId="5" fontId="0" numFmtId="171" xfId="19">
      <alignment horizontal="center" indent="0" shrinkToFit="false" textRotation="0" vertical="center" wrapText="true"/>
      <protection hidden="false" locked="true"/>
    </xf>
    <xf applyAlignment="true" applyBorder="true" applyFont="true" applyProtection="true" borderId="24" fillId="4" fontId="29" numFmtId="169" xfId="0">
      <alignment horizontal="center" indent="0" shrinkToFit="false" textRotation="0" vertical="center" wrapText="true"/>
      <protection hidden="false" locked="true"/>
    </xf>
    <xf applyAlignment="true" applyBorder="true" applyFont="true" applyProtection="true" borderId="24" fillId="4" fontId="35" numFmtId="172" xfId="0">
      <alignment horizontal="center" indent="0" shrinkToFit="false" textRotation="0" vertical="center" wrapText="true"/>
      <protection hidden="false" locked="true"/>
    </xf>
    <xf applyAlignment="true" applyBorder="true" applyFont="true" applyProtection="true" borderId="24" fillId="4" fontId="35" numFmtId="170" xfId="19">
      <alignment horizontal="center" indent="0" shrinkToFit="false" textRotation="0" vertical="center" wrapText="true"/>
      <protection hidden="false" locked="true"/>
    </xf>
    <xf applyAlignment="true" applyBorder="true" applyFont="true" applyProtection="true" borderId="24" fillId="4" fontId="35" numFmtId="164" xfId="0">
      <alignment horizontal="center" indent="0" shrinkToFit="false" textRotation="0" vertical="center" wrapText="true"/>
      <protection hidden="false" locked="true"/>
    </xf>
    <xf applyAlignment="true" applyBorder="true" applyFont="true" applyProtection="true" borderId="25" fillId="4" fontId="35" numFmtId="164" xfId="0">
      <alignment horizontal="center" indent="0" shrinkToFit="false" textRotation="0" vertical="center" wrapText="true"/>
      <protection hidden="false" locked="true"/>
    </xf>
    <xf applyAlignment="true" applyBorder="true" applyFont="true" applyProtection="true" borderId="6" fillId="7" fontId="38" numFmtId="164" xfId="0">
      <alignment horizontal="center" indent="0" shrinkToFit="false" textRotation="0" vertical="center" wrapText="true"/>
      <protection hidden="false" locked="true"/>
    </xf>
    <xf applyAlignment="true" applyBorder="true" applyFont="true" applyProtection="true" borderId="13" fillId="4" fontId="39" numFmtId="164" xfId="0">
      <alignment horizontal="center" indent="0" shrinkToFit="false" textRotation="0" vertical="center" wrapText="true"/>
      <protection hidden="false" locked="true"/>
    </xf>
    <xf applyAlignment="true" applyBorder="true" applyFont="true" applyProtection="true" borderId="27" fillId="4" fontId="29" numFmtId="164" xfId="0">
      <alignment horizontal="center" indent="0" shrinkToFit="false" textRotation="0" vertical="center" wrapText="true"/>
      <protection hidden="false" locked="true"/>
    </xf>
    <xf applyAlignment="true" applyBorder="true" applyFont="true" applyProtection="true" borderId="27" fillId="4" fontId="30" numFmtId="164" xfId="0">
      <alignment horizontal="center" indent="0" shrinkToFit="false" textRotation="0" vertical="center" wrapText="true"/>
      <protection hidden="false" locked="true"/>
    </xf>
    <xf applyAlignment="true" applyBorder="true" applyFont="true" applyProtection="true" borderId="8" fillId="4" fontId="30" numFmtId="164" xfId="0">
      <alignment horizontal="center" indent="0" shrinkToFit="false" textRotation="0" vertical="center" wrapText="true"/>
      <protection hidden="false" locked="true"/>
    </xf>
    <xf applyAlignment="true" applyBorder="true" applyFont="true" applyProtection="true" borderId="10" fillId="0" fontId="0" numFmtId="164" xfId="0">
      <alignment horizontal="center" indent="0" shrinkToFit="false" textRotation="0" vertical="center" wrapText="false"/>
      <protection hidden="false" locked="false"/>
    </xf>
    <xf applyAlignment="true" applyBorder="true" applyFont="true" applyProtection="true" borderId="10" fillId="6" fontId="36" numFmtId="164" xfId="0">
      <alignment horizontal="general" indent="0" shrinkToFit="false" textRotation="0" vertical="center" wrapText="true"/>
      <protection hidden="false" locked="false"/>
    </xf>
    <xf applyAlignment="true" applyBorder="true" applyFont="true" applyProtection="true" borderId="7" fillId="5" fontId="0" numFmtId="164" xfId="0">
      <alignment horizontal="center" indent="0" shrinkToFit="false" textRotation="0" vertical="center" wrapText="true"/>
      <protection hidden="false" locked="true"/>
    </xf>
    <xf applyAlignment="true" applyBorder="true" applyFont="true" applyProtection="true" borderId="10" fillId="0" fontId="31" numFmtId="169" xfId="0">
      <alignment horizontal="center" indent="0" shrinkToFit="false" textRotation="0" vertical="center" wrapText="true"/>
      <protection hidden="false" locked="false"/>
    </xf>
    <xf applyAlignment="true" applyBorder="true" applyFont="true" applyProtection="true" borderId="11" fillId="4" fontId="29" numFmtId="164" xfId="0">
      <alignment horizontal="center" indent="0" shrinkToFit="false" textRotation="0" vertical="center" wrapText="true"/>
      <protection hidden="false" locked="true"/>
    </xf>
    <xf applyAlignment="true" applyBorder="true" applyFont="true" applyProtection="true" borderId="12" fillId="4" fontId="39" numFmtId="169" xfId="0">
      <alignment horizontal="center" indent="0" shrinkToFit="false" textRotation="0" vertical="center" wrapText="true"/>
      <protection hidden="false" locked="true"/>
    </xf>
    <xf applyAlignment="true" applyBorder="true" applyFont="true" applyProtection="true" borderId="12" fillId="4" fontId="35" numFmtId="171" xfId="0">
      <alignment horizontal="center" indent="0" shrinkToFit="false" textRotation="0" vertical="center" wrapText="true"/>
      <protection hidden="false" locked="true"/>
    </xf>
    <xf applyAlignment="true" applyBorder="true" applyFont="true" applyProtection="true" borderId="19" fillId="4" fontId="35" numFmtId="171" xfId="19">
      <alignment horizontal="center" indent="0" shrinkToFit="false" textRotation="0" vertical="center" wrapText="true"/>
      <protection hidden="false" locked="true"/>
    </xf>
    <xf applyAlignment="true" applyBorder="true" applyFont="true" applyProtection="true" borderId="17" fillId="5" fontId="0" numFmtId="164" xfId="0">
      <alignment horizontal="general" indent="0" shrinkToFit="false" textRotation="0" vertical="center" wrapText="true"/>
      <protection hidden="false" locked="true"/>
    </xf>
    <xf applyAlignment="true" applyBorder="true" applyFont="true" applyProtection="true" borderId="18" fillId="5" fontId="0" numFmtId="169" xfId="0">
      <alignment horizontal="center" indent="0" shrinkToFit="false" textRotation="0" vertical="center" wrapText="true"/>
      <protection hidden="false" locked="true"/>
    </xf>
    <xf applyAlignment="true" applyBorder="false" applyFont="true" applyProtection="true" borderId="0" fillId="0" fontId="0" numFmtId="164" xfId="0">
      <alignment horizontal="center" indent="0" shrinkToFit="false" textRotation="0" vertical="center" wrapText="true"/>
      <protection hidden="false" locked="true"/>
    </xf>
    <xf applyAlignment="true" applyBorder="true" applyFont="true" applyProtection="true" borderId="7" fillId="5" fontId="0" numFmtId="164" xfId="0">
      <alignment horizontal="general" indent="0" shrinkToFit="false" textRotation="0" vertical="center" wrapText="true"/>
      <protection hidden="false" locked="true"/>
    </xf>
    <xf applyAlignment="true" applyBorder="true" applyFont="true" applyProtection="true" borderId="9" fillId="5" fontId="0" numFmtId="169" xfId="0">
      <alignment horizontal="center" indent="0" shrinkToFit="false" textRotation="0" vertical="center" wrapText="true"/>
      <protection hidden="false" locked="true"/>
    </xf>
    <xf applyAlignment="true" applyBorder="true" applyFont="true" applyProtection="true" borderId="11" fillId="5" fontId="0" numFmtId="164" xfId="0">
      <alignment horizontal="general" indent="0" shrinkToFit="false" textRotation="0" vertical="center" wrapText="true"/>
      <protection hidden="false" locked="true"/>
    </xf>
    <xf applyAlignment="true" applyBorder="true" applyFont="true" applyProtection="true" borderId="19" fillId="5" fontId="0" numFmtId="171" xfId="0">
      <alignment horizontal="center" indent="0" shrinkToFit="false" textRotation="0" vertical="center" wrapText="true"/>
      <protection hidden="false" locked="true"/>
    </xf>
    <xf applyAlignment="true" applyBorder="false" applyFont="true" applyProtection="true" borderId="0" fillId="0" fontId="28" numFmtId="164" xfId="0">
      <alignment horizontal="general" indent="0" shrinkToFit="false" textRotation="0" vertical="center" wrapText="false"/>
      <protection hidden="false" locked="true"/>
    </xf>
    <xf applyAlignment="true" applyBorder="false" applyFont="true" applyProtection="true" borderId="0" fillId="0" fontId="40" numFmtId="164" xfId="0">
      <alignment horizontal="general" indent="0" shrinkToFit="false" textRotation="0" vertical="center" wrapText="false"/>
      <protection hidden="false" locked="true"/>
    </xf>
    <xf applyAlignment="true" applyBorder="true" applyFont="true" applyProtection="true" borderId="34" fillId="4" fontId="29" numFmtId="169" xfId="0">
      <alignment horizontal="center" indent="0" shrinkToFit="false" textRotation="0" vertical="center" wrapText="true"/>
      <protection hidden="false" locked="true"/>
    </xf>
    <xf applyAlignment="true" applyBorder="true" applyFont="true" applyProtection="true" borderId="35" fillId="4" fontId="34" numFmtId="169" xfId="0">
      <alignment horizontal="center" indent="0" shrinkToFit="false" textRotation="0" vertical="center" wrapText="true"/>
      <protection hidden="false" locked="true"/>
    </xf>
    <xf applyAlignment="true" applyBorder="true" applyFont="true" applyProtection="true" borderId="35" fillId="8" fontId="31" numFmtId="169" xfId="0">
      <alignment horizontal="center" indent="0" shrinkToFit="false" textRotation="0" vertical="center" wrapText="true"/>
      <protection hidden="false" locked="true"/>
    </xf>
    <xf applyAlignment="true" applyBorder="true" applyFont="true" applyProtection="true" borderId="36" fillId="8" fontId="31" numFmtId="169" xfId="0">
      <alignment horizontal="center" indent="0" shrinkToFit="false" textRotation="0" vertical="center" wrapText="true"/>
      <protection hidden="false" locked="true"/>
    </xf>
    <xf applyAlignment="true" applyBorder="true" applyFont="true" applyProtection="true" borderId="7" fillId="7" fontId="41" numFmtId="164" xfId="0">
      <alignment horizontal="left" indent="0" shrinkToFit="false" textRotation="0" vertical="center" wrapText="true"/>
      <protection hidden="false" locked="true"/>
    </xf>
    <xf applyAlignment="true" applyBorder="true" applyFont="true" applyProtection="true" borderId="10" fillId="7" fontId="31" numFmtId="169" xfId="0">
      <alignment horizontal="center" indent="0" shrinkToFit="false" textRotation="0" vertical="center" wrapText="true"/>
      <protection hidden="false" locked="true"/>
    </xf>
    <xf applyAlignment="true" applyBorder="true" applyFont="true" applyProtection="true" borderId="29" fillId="7" fontId="31" numFmtId="171" xfId="19">
      <alignment horizontal="center" indent="0" shrinkToFit="false" textRotation="0" vertical="center" wrapText="true"/>
      <protection hidden="false" locked="true"/>
    </xf>
    <xf applyAlignment="true" applyBorder="true" applyFont="true" applyProtection="true" borderId="9" fillId="7" fontId="31" numFmtId="171" xfId="19">
      <alignment horizontal="center" indent="0" shrinkToFit="false" textRotation="0" vertical="center" wrapText="true"/>
      <protection hidden="false" locked="true"/>
    </xf>
    <xf applyAlignment="true" applyBorder="true" applyFont="true" applyProtection="true" borderId="7" fillId="2" fontId="31" numFmtId="164" xfId="0">
      <alignment horizontal="left" indent="2" shrinkToFit="false" textRotation="0" vertical="center" wrapText="true"/>
      <protection hidden="false" locked="true"/>
    </xf>
    <xf applyAlignment="true" applyBorder="true" applyFont="true" applyProtection="true" borderId="10" fillId="0" fontId="31" numFmtId="169" xfId="0">
      <alignment horizontal="center" indent="0" shrinkToFit="false" textRotation="0" vertical="center" wrapText="false"/>
      <protection hidden="false" locked="false"/>
    </xf>
    <xf applyAlignment="true" applyBorder="true" applyFont="true" applyProtection="true" borderId="10" fillId="6" fontId="31" numFmtId="173" xfId="0">
      <alignment horizontal="center" indent="0" shrinkToFit="false" textRotation="0" vertical="center" wrapText="true"/>
      <protection hidden="false" locked="false"/>
    </xf>
    <xf applyAlignment="true" applyBorder="true" applyFont="true" applyProtection="true" borderId="29" fillId="2" fontId="31" numFmtId="171" xfId="19">
      <alignment horizontal="center" indent="0" shrinkToFit="false" textRotation="0" vertical="center" wrapText="true"/>
      <protection hidden="false" locked="true"/>
    </xf>
    <xf applyAlignment="true" applyBorder="true" applyFont="true" applyProtection="true" borderId="9" fillId="2" fontId="31" numFmtId="171" xfId="19">
      <alignment horizontal="center" indent="0" shrinkToFit="false" textRotation="0" vertical="center" wrapText="true"/>
      <protection hidden="false" locked="true"/>
    </xf>
    <xf applyAlignment="true" applyBorder="true" applyFont="true" applyProtection="true" borderId="7" fillId="7" fontId="31" numFmtId="164" xfId="0">
      <alignment horizontal="left" indent="0" shrinkToFit="false" textRotation="0" vertical="center" wrapText="true"/>
      <protection hidden="false" locked="true"/>
    </xf>
    <xf applyAlignment="true" applyBorder="true" applyFont="true" applyProtection="true" borderId="10" fillId="7" fontId="31" numFmtId="171" xfId="0">
      <alignment horizontal="center" indent="0" shrinkToFit="false" textRotation="0" vertical="center" wrapText="true"/>
      <protection hidden="false" locked="true"/>
    </xf>
    <xf applyAlignment="true" applyBorder="true" applyFont="true" applyProtection="true" borderId="10" fillId="0" fontId="31" numFmtId="169" xfId="0">
      <alignment horizontal="center" indent="0" shrinkToFit="false" textRotation="0" vertical="center" wrapText="false"/>
      <protection hidden="false" locked="false"/>
    </xf>
    <xf applyAlignment="true" applyBorder="true" applyFont="true" applyProtection="true" borderId="10" fillId="7" fontId="31" numFmtId="174" xfId="0">
      <alignment horizontal="center" indent="0" shrinkToFit="false" textRotation="0" vertical="center" wrapText="true"/>
      <protection hidden="false" locked="true"/>
    </xf>
    <xf applyAlignment="true" applyBorder="true" applyFont="true" applyProtection="true" borderId="10" fillId="7" fontId="31" numFmtId="171" xfId="19">
      <alignment horizontal="center" indent="0" shrinkToFit="false" textRotation="0" vertical="center" wrapText="true"/>
      <protection hidden="false" locked="true"/>
    </xf>
    <xf applyAlignment="true" applyBorder="true" applyFont="true" applyProtection="true" borderId="11" fillId="7" fontId="41" numFmtId="164" xfId="0">
      <alignment horizontal="left" indent="0" shrinkToFit="false" textRotation="0" vertical="center" wrapText="true"/>
      <protection hidden="false" locked="true"/>
    </xf>
    <xf applyAlignment="true" applyBorder="true" applyFont="true" applyProtection="true" borderId="12" fillId="7" fontId="31" numFmtId="175" xfId="0">
      <alignment horizontal="center" indent="0" shrinkToFit="false" textRotation="0" vertical="center" wrapText="true"/>
      <protection hidden="false" locked="true"/>
    </xf>
    <xf applyAlignment="true" applyBorder="true" applyFont="true" applyProtection="true" borderId="12" fillId="7" fontId="31" numFmtId="171" xfId="19">
      <alignment horizontal="center" indent="0" shrinkToFit="false" textRotation="0" vertical="center" wrapText="true"/>
      <protection hidden="false" locked="true"/>
    </xf>
    <xf applyAlignment="true" applyBorder="true" applyFont="true" applyProtection="true" borderId="19" fillId="7" fontId="31" numFmtId="171" xfId="19">
      <alignment horizontal="center" indent="0" shrinkToFit="false" textRotation="0" vertical="center" wrapText="true"/>
      <protection hidden="false" locked="true"/>
    </xf>
    <xf applyAlignment="true" applyBorder="false" applyFont="true" applyProtection="true" borderId="0" fillId="0" fontId="31" numFmtId="164" xfId="0">
      <alignment horizontal="left" indent="0" shrinkToFit="false" textRotation="0" vertical="center" wrapText="false"/>
      <protection hidden="false" locked="true"/>
    </xf>
    <xf applyAlignment="true" applyBorder="false" applyFont="true" applyProtection="true" borderId="0" fillId="0" fontId="42" numFmtId="164" xfId="0">
      <alignment horizontal="left" indent="0" shrinkToFit="false" textRotation="0" vertical="center" wrapText="false"/>
      <protection hidden="false" locked="true"/>
    </xf>
    <xf applyAlignment="true" applyBorder="true" applyFont="true" applyProtection="true" borderId="13" fillId="0" fontId="40" numFmtId="164" xfId="0">
      <alignment horizontal="center" indent="0" shrinkToFit="false" textRotation="0" vertical="center" wrapText="true"/>
      <protection hidden="false" locked="true"/>
    </xf>
    <xf applyAlignment="true" applyBorder="true" applyFont="true" applyProtection="true" borderId="27" fillId="9" fontId="40" numFmtId="164" xfId="0">
      <alignment horizontal="center" indent="0" shrinkToFit="false" textRotation="0" vertical="center" wrapText="true"/>
      <protection hidden="false" locked="true"/>
    </xf>
    <xf applyAlignment="true" applyBorder="true" applyFont="true" applyProtection="true" borderId="27" fillId="0" fontId="40" numFmtId="164" xfId="0">
      <alignment horizontal="center" indent="0" shrinkToFit="false" textRotation="0" vertical="center" wrapText="true"/>
      <protection hidden="false" locked="true"/>
    </xf>
    <xf applyAlignment="true" applyBorder="true" applyFont="true" applyProtection="true" borderId="27" fillId="10" fontId="40" numFmtId="164" xfId="0">
      <alignment horizontal="center" indent="0" shrinkToFit="false" textRotation="0" vertical="center" wrapText="true"/>
      <protection hidden="false" locked="true"/>
    </xf>
    <xf applyAlignment="true" applyBorder="true" applyFont="true" applyProtection="true" borderId="8" fillId="0" fontId="40" numFmtId="164" xfId="0">
      <alignment horizontal="center" indent="0" shrinkToFit="false" textRotation="0" vertical="center" wrapText="true"/>
      <protection hidden="false" locked="true"/>
    </xf>
    <xf applyAlignment="true" applyBorder="true" applyFont="true" applyProtection="true" borderId="7" fillId="4" fontId="35" numFmtId="164" xfId="0">
      <alignment horizontal="left" indent="0" shrinkToFit="false" textRotation="0" vertical="center" wrapText="false"/>
      <protection hidden="false" locked="true"/>
    </xf>
    <xf applyAlignment="true" applyBorder="true" applyFont="true" applyProtection="true" borderId="10" fillId="4" fontId="35" numFmtId="164" xfId="0">
      <alignment horizontal="general" indent="0" shrinkToFit="false" textRotation="0" vertical="center" wrapText="false"/>
      <protection hidden="false" locked="true"/>
    </xf>
    <xf applyAlignment="true" applyBorder="true" applyFont="true" applyProtection="true" borderId="9" fillId="4" fontId="35" numFmtId="164" xfId="0">
      <alignment horizontal="general" indent="0" shrinkToFit="false" textRotation="0" vertical="center" wrapText="false"/>
      <protection hidden="false" locked="true"/>
    </xf>
    <xf applyAlignment="true" applyBorder="true" applyFont="true" applyProtection="true" borderId="7" fillId="7" fontId="43" numFmtId="164" xfId="0">
      <alignment horizontal="left" indent="0" shrinkToFit="false" textRotation="0" vertical="center" wrapText="false"/>
      <protection hidden="false" locked="true"/>
    </xf>
    <xf applyAlignment="true" applyBorder="true" applyFont="true" applyProtection="true" borderId="10" fillId="7" fontId="43" numFmtId="164" xfId="0">
      <alignment horizontal="general" indent="0" shrinkToFit="false" textRotation="0" vertical="center" wrapText="false"/>
      <protection hidden="false" locked="true"/>
    </xf>
    <xf applyAlignment="true" applyBorder="true" applyFont="true" applyProtection="true" borderId="10" fillId="7" fontId="44" numFmtId="169" xfId="0">
      <alignment horizontal="center" indent="0" shrinkToFit="false" textRotation="0" vertical="center" wrapText="false"/>
      <protection hidden="false" locked="true"/>
    </xf>
    <xf applyAlignment="true" applyBorder="true" applyFont="true" applyProtection="true" borderId="10" fillId="7" fontId="31" numFmtId="171" xfId="19">
      <alignment horizontal="center" indent="0" shrinkToFit="false" textRotation="0" vertical="center" wrapText="false"/>
      <protection hidden="false" locked="true"/>
    </xf>
    <xf applyAlignment="true" applyBorder="true" applyFont="true" applyProtection="true" borderId="9" fillId="7" fontId="31" numFmtId="171" xfId="19">
      <alignment horizontal="center" indent="0" shrinkToFit="false" textRotation="0" vertical="center" wrapText="false"/>
      <protection hidden="false" locked="true"/>
    </xf>
    <xf applyAlignment="true" applyBorder="true" applyFont="true" applyProtection="true" borderId="7" fillId="11" fontId="32" numFmtId="164" xfId="0">
      <alignment horizontal="left" indent="0" shrinkToFit="false" textRotation="0" vertical="center" wrapText="true"/>
      <protection hidden="false" locked="true"/>
    </xf>
    <xf applyAlignment="true" applyBorder="true" applyFont="true" applyProtection="true" borderId="10" fillId="11" fontId="32" numFmtId="164" xfId="0">
      <alignment horizontal="general" indent="0" shrinkToFit="false" textRotation="0" vertical="center" wrapText="true"/>
      <protection hidden="false" locked="true"/>
    </xf>
    <xf applyAlignment="true" applyBorder="true" applyFont="true" applyProtection="true" borderId="10" fillId="11" fontId="31" numFmtId="171" xfId="19">
      <alignment horizontal="center" indent="0" shrinkToFit="false" textRotation="0" vertical="center" wrapText="false"/>
      <protection hidden="false" locked="true"/>
    </xf>
    <xf applyAlignment="true" applyBorder="true" applyFont="true" applyProtection="true" borderId="9" fillId="11" fontId="31" numFmtId="171" xfId="19">
      <alignment horizontal="center" indent="0" shrinkToFit="false" textRotation="0" vertical="center" wrapText="false"/>
      <protection hidden="false" locked="true"/>
    </xf>
    <xf applyAlignment="true" applyBorder="true" applyFont="true" applyProtection="true" borderId="10" fillId="11" fontId="41" numFmtId="169" xfId="0">
      <alignment horizontal="center" indent="0" shrinkToFit="false" textRotation="0" vertical="center" wrapText="false"/>
      <protection hidden="false" locked="true"/>
    </xf>
    <xf applyAlignment="true" applyBorder="true" applyFont="true" applyProtection="true" borderId="7" fillId="10" fontId="45" numFmtId="164" xfId="0">
      <alignment horizontal="left" indent="0" shrinkToFit="false" textRotation="0" vertical="center" wrapText="true"/>
      <protection hidden="false" locked="true"/>
    </xf>
    <xf applyAlignment="true" applyBorder="true" applyFont="true" applyProtection="true" borderId="10" fillId="10" fontId="45" numFmtId="164" xfId="0">
      <alignment horizontal="general" indent="0" shrinkToFit="false" textRotation="0" vertical="center" wrapText="true"/>
      <protection hidden="false" locked="true"/>
    </xf>
    <xf applyAlignment="true" applyBorder="true" applyFont="true" applyProtection="true" borderId="10" fillId="10" fontId="41" numFmtId="169" xfId="0">
      <alignment horizontal="center" indent="0" shrinkToFit="false" textRotation="0" vertical="center" wrapText="false"/>
      <protection hidden="false" locked="true"/>
    </xf>
    <xf applyAlignment="true" applyBorder="true" applyFont="true" applyProtection="true" borderId="10" fillId="10" fontId="31" numFmtId="165" xfId="19">
      <alignment horizontal="center" indent="0" shrinkToFit="false" textRotation="0" vertical="center" wrapText="false"/>
      <protection hidden="false" locked="true"/>
    </xf>
    <xf applyAlignment="true" applyBorder="true" applyFont="true" applyProtection="true" borderId="9" fillId="10" fontId="31" numFmtId="165" xfId="19">
      <alignment horizontal="center" indent="0" shrinkToFit="false" textRotation="0" vertical="center" wrapText="false"/>
      <protection hidden="false" locked="true"/>
    </xf>
    <xf applyAlignment="true" applyBorder="true" applyFont="true" applyProtection="true" borderId="7" fillId="0" fontId="45" numFmtId="164" xfId="0">
      <alignment horizontal="left" indent="0" shrinkToFit="false" textRotation="0" vertical="center" wrapText="true"/>
      <protection hidden="false" locked="true"/>
    </xf>
    <xf applyAlignment="true" applyBorder="true" applyFont="true" applyProtection="true" borderId="10" fillId="0" fontId="45" numFmtId="164" xfId="0">
      <alignment horizontal="general" indent="0" shrinkToFit="false" textRotation="0" vertical="center" wrapText="true"/>
      <protection hidden="false" locked="true"/>
    </xf>
    <xf applyAlignment="true" applyBorder="true" applyFont="true" applyProtection="true" borderId="10" fillId="2" fontId="31" numFmtId="171" xfId="19">
      <alignment horizontal="center" indent="0" shrinkToFit="false" textRotation="0" vertical="center" wrapText="false"/>
      <protection hidden="false" locked="true"/>
    </xf>
    <xf applyAlignment="true" applyBorder="true" applyFont="true" applyProtection="true" borderId="9" fillId="2" fontId="31" numFmtId="171" xfId="19">
      <alignment horizontal="center" indent="0" shrinkToFit="false" textRotation="0" vertical="center" wrapText="false"/>
      <protection hidden="false" locked="true"/>
    </xf>
    <xf applyAlignment="true" applyBorder="true" applyFont="true" applyProtection="true" borderId="10" fillId="11" fontId="31" numFmtId="165" xfId="19">
      <alignment horizontal="center" indent="0" shrinkToFit="false" textRotation="0" vertical="center" wrapText="false"/>
      <protection hidden="false" locked="true"/>
    </xf>
    <xf applyAlignment="true" applyBorder="true" applyFont="true" applyProtection="true" borderId="9" fillId="11" fontId="31" numFmtId="165" xfId="19">
      <alignment horizontal="center" indent="0" shrinkToFit="false" textRotation="0" vertical="center" wrapText="false"/>
      <protection hidden="false" locked="true"/>
    </xf>
    <xf applyAlignment="true" applyBorder="true" applyFont="true" applyProtection="true" borderId="10" fillId="7" fontId="41" numFmtId="169" xfId="0">
      <alignment horizontal="center" indent="0" shrinkToFit="false" textRotation="0" vertical="center" wrapText="false"/>
      <protection hidden="false" locked="true"/>
    </xf>
    <xf applyAlignment="true" applyBorder="true" applyFont="true" applyProtection="true" borderId="7" fillId="0" fontId="32" numFmtId="164" xfId="0">
      <alignment horizontal="left" indent="0" shrinkToFit="false" textRotation="0" vertical="center" wrapText="true"/>
      <protection hidden="false" locked="true"/>
    </xf>
    <xf applyAlignment="true" applyBorder="true" applyFont="true" applyProtection="true" borderId="10" fillId="0" fontId="32" numFmtId="164" xfId="0">
      <alignment horizontal="general" indent="0" shrinkToFit="false" textRotation="0" vertical="center" wrapText="true"/>
      <protection hidden="false" locked="true"/>
    </xf>
    <xf applyAlignment="true" applyBorder="true" applyFont="true" applyProtection="true" borderId="10" fillId="0" fontId="44" numFmtId="164" xfId="0">
      <alignment horizontal="center" indent="0" shrinkToFit="false" textRotation="0" vertical="center" wrapText="false"/>
      <protection hidden="false" locked="false"/>
    </xf>
    <xf applyAlignment="true" applyBorder="true" applyFont="true" applyProtection="true" borderId="10" fillId="7" fontId="44" numFmtId="164" xfId="0">
      <alignment horizontal="general" indent="0" shrinkToFit="false" textRotation="0" vertical="center" wrapText="false"/>
      <protection hidden="false" locked="true"/>
    </xf>
    <xf applyAlignment="true" applyBorder="true" applyFont="true" applyProtection="true" borderId="9" fillId="7" fontId="44" numFmtId="164" xfId="0">
      <alignment horizontal="general" indent="0" shrinkToFit="false" textRotation="0" vertical="center" wrapText="false"/>
      <protection hidden="false" locked="true"/>
    </xf>
    <xf applyAlignment="true" applyBorder="true" applyFont="true" applyProtection="true" borderId="10" fillId="7" fontId="44" numFmtId="164" xfId="0">
      <alignment horizontal="center" indent="0" shrinkToFit="false" textRotation="0" vertical="center" wrapText="false"/>
      <protection hidden="false" locked="true"/>
    </xf>
    <xf applyAlignment="true" applyBorder="true" applyFont="true" applyProtection="true" borderId="10" fillId="0" fontId="43" numFmtId="164" xfId="0">
      <alignment horizontal="center" indent="0" shrinkToFit="false" textRotation="0" vertical="center" wrapText="false"/>
      <protection hidden="false" locked="false"/>
    </xf>
    <xf applyAlignment="true" applyBorder="true" applyFont="true" applyProtection="true" borderId="10" fillId="0" fontId="41" numFmtId="169" xfId="0">
      <alignment horizontal="center" indent="0" shrinkToFit="false" textRotation="0" vertical="center" wrapText="false"/>
      <protection hidden="false" locked="false"/>
    </xf>
    <xf applyAlignment="true" applyBorder="true" applyFont="true" applyProtection="true" borderId="11" fillId="0" fontId="32" numFmtId="164" xfId="0">
      <alignment horizontal="left" indent="0" shrinkToFit="false" textRotation="0" vertical="center" wrapText="true"/>
      <protection hidden="false" locked="true"/>
    </xf>
    <xf applyAlignment="true" applyBorder="true" applyFont="true" applyProtection="true" borderId="12" fillId="0" fontId="32" numFmtId="164" xfId="0">
      <alignment horizontal="general" indent="0" shrinkToFit="false" textRotation="0" vertical="center" wrapText="true"/>
      <protection hidden="false" locked="true"/>
    </xf>
    <xf applyAlignment="true" applyBorder="true" applyFont="true" applyProtection="true" borderId="12" fillId="0" fontId="31" numFmtId="169" xfId="0">
      <alignment horizontal="center" indent="0" shrinkToFit="false" textRotation="0" vertical="center" wrapText="false"/>
      <protection hidden="false" locked="false"/>
    </xf>
    <xf applyAlignment="true" applyBorder="true" applyFont="true" applyProtection="true" borderId="12" fillId="2" fontId="31" numFmtId="171" xfId="19">
      <alignment horizontal="center" indent="0" shrinkToFit="false" textRotation="0" vertical="center" wrapText="false"/>
      <protection hidden="false" locked="true"/>
    </xf>
    <xf applyAlignment="true" applyBorder="true" applyFont="true" applyProtection="true" borderId="19" fillId="2" fontId="31" numFmtId="171" xfId="19">
      <alignment horizontal="center" indent="0" shrinkToFit="false" textRotation="0" vertical="center" wrapText="false"/>
      <protection hidden="false" locked="true"/>
    </xf>
    <xf applyAlignment="true" applyBorder="true" applyFont="true" applyProtection="true" borderId="0" fillId="0" fontId="31" numFmtId="164" xfId="0">
      <alignment horizontal="left" indent="0" shrinkToFit="false" textRotation="0" vertical="center" wrapText="false"/>
      <protection hidden="false" locked="true"/>
    </xf>
    <xf applyAlignment="true" applyBorder="true" applyFont="true" applyProtection="true" borderId="0" fillId="0" fontId="31" numFmtId="164" xfId="0">
      <alignment horizontal="left" indent="0" shrinkToFit="false" textRotation="0" vertical="center" wrapText="true"/>
      <protection hidden="false" locked="true"/>
    </xf>
    <xf applyAlignment="true" applyBorder="false" applyFont="true" applyProtection="false" borderId="0" fillId="0" fontId="45" numFmtId="164" xfId="0">
      <alignment horizontal="left" indent="0" shrinkToFit="false" textRotation="0" vertical="center" wrapText="false"/>
    </xf>
    <xf applyAlignment="true" applyBorder="false" applyFont="true" applyProtection="false" borderId="0" fillId="0" fontId="0" numFmtId="164" xfId="0">
      <alignment horizontal="general" indent="0" shrinkToFit="false" textRotation="0" vertical="center" wrapText="false"/>
    </xf>
    <xf applyAlignment="true" applyBorder="false" applyFont="true" applyProtection="false" borderId="0" fillId="0" fontId="0" numFmtId="164" xfId="0">
      <alignment horizontal="center" indent="0" shrinkToFit="false" textRotation="0" vertical="center" wrapText="false"/>
    </xf>
    <xf applyAlignment="true" applyBorder="false" applyFont="true" applyProtection="false" borderId="0" fillId="0" fontId="27" numFmtId="164" xfId="0">
      <alignment horizontal="general" indent="0" shrinkToFit="false" textRotation="0" vertical="center" wrapText="false"/>
    </xf>
    <xf applyAlignment="true" applyBorder="true" applyFont="true" applyProtection="true" borderId="0" fillId="0" fontId="28" numFmtId="164" xfId="0">
      <alignment horizontal="left" indent="0" shrinkToFit="false" textRotation="0" vertical="center" wrapText="true"/>
      <protection hidden="false" locked="true"/>
    </xf>
    <xf applyAlignment="true" applyBorder="true" applyFont="true" applyProtection="false" borderId="37" fillId="0" fontId="46" numFmtId="164" xfId="0">
      <alignment horizontal="center" indent="0" shrinkToFit="false" textRotation="0" vertical="center" wrapText="true"/>
    </xf>
    <xf applyAlignment="true" applyBorder="true" applyFont="true" applyProtection="false" borderId="26" fillId="0" fontId="46" numFmtId="164" xfId="0">
      <alignment horizontal="center" indent="0" shrinkToFit="false" textRotation="0" vertical="center" wrapText="true"/>
    </xf>
    <xf applyAlignment="true" applyBorder="true" applyFont="true" applyProtection="false" borderId="38" fillId="0" fontId="46" numFmtId="164" xfId="0">
      <alignment horizontal="center" indent="0" shrinkToFit="false" textRotation="0" vertical="center" wrapText="true"/>
    </xf>
    <xf applyAlignment="true" applyBorder="true" applyFont="true" applyProtection="false" borderId="5" fillId="12" fontId="29" numFmtId="164" xfId="0">
      <alignment horizontal="general" indent="0" shrinkToFit="false" textRotation="0" vertical="center" wrapText="false"/>
    </xf>
    <xf applyAlignment="true" applyBorder="true" applyFont="true" applyProtection="false" borderId="20" fillId="12" fontId="47" numFmtId="164" xfId="0">
      <alignment horizontal="general" indent="0" shrinkToFit="false" textRotation="0" vertical="center" wrapText="false"/>
    </xf>
    <xf applyAlignment="true" applyBorder="true" applyFont="true" applyProtection="false" borderId="20" fillId="12" fontId="47" numFmtId="164" xfId="0">
      <alignment horizontal="center" indent="0" shrinkToFit="false" textRotation="0" vertical="center" wrapText="false"/>
    </xf>
    <xf applyAlignment="true" applyBorder="true" applyFont="true" applyProtection="false" borderId="6" fillId="12" fontId="47" numFmtId="164" xfId="0">
      <alignment horizontal="general" indent="0" shrinkToFit="false" textRotation="0" vertical="center" wrapText="false"/>
    </xf>
    <xf applyAlignment="true" applyBorder="true" applyFont="true" applyProtection="false" borderId="5" fillId="13" fontId="48" numFmtId="164" xfId="0">
      <alignment horizontal="left" indent="0" shrinkToFit="false" textRotation="0" vertical="center" wrapText="false"/>
    </xf>
    <xf applyAlignment="true" applyBorder="true" applyFont="true" applyProtection="false" borderId="20" fillId="13" fontId="46" numFmtId="164" xfId="0">
      <alignment horizontal="center" indent="0" shrinkToFit="false" textRotation="0" vertical="center" wrapText="true"/>
    </xf>
    <xf applyAlignment="true" applyBorder="true" applyFont="true" applyProtection="false" borderId="6" fillId="13" fontId="46" numFmtId="164" xfId="0">
      <alignment horizontal="center" indent="0" shrinkToFit="false" textRotation="0" vertical="center" wrapText="true"/>
    </xf>
    <xf applyAlignment="true" applyBorder="true" applyFont="true" applyProtection="false" borderId="17" fillId="4" fontId="47" numFmtId="164" xfId="0">
      <alignment horizontal="general" indent="0" shrinkToFit="false" textRotation="0" vertical="center" wrapText="false"/>
    </xf>
    <xf applyAlignment="true" applyBorder="true" applyFont="true" applyProtection="false" borderId="21" fillId="4" fontId="47" numFmtId="164" xfId="0">
      <alignment horizontal="general" indent="0" shrinkToFit="false" textRotation="0" vertical="center" wrapText="false"/>
    </xf>
    <xf applyAlignment="true" applyBorder="true" applyFont="true" applyProtection="false" borderId="21" fillId="4" fontId="34" numFmtId="169" xfId="0">
      <alignment horizontal="center" indent="0" shrinkToFit="false" textRotation="0" vertical="center" wrapText="false"/>
    </xf>
    <xf applyAlignment="true" applyBorder="true" applyFont="true" applyProtection="false" borderId="21" fillId="4" fontId="34" numFmtId="165" xfId="0">
      <alignment horizontal="center" indent="0" shrinkToFit="false" textRotation="0" vertical="center" wrapText="false"/>
    </xf>
    <xf applyAlignment="true" applyBorder="true" applyFont="true" applyProtection="false" borderId="18" fillId="4" fontId="47" numFmtId="164" xfId="0">
      <alignment horizontal="center" indent="0" shrinkToFit="false" textRotation="0" vertical="center" wrapText="false"/>
    </xf>
    <xf applyAlignment="true" applyBorder="true" applyFont="true" applyProtection="false" borderId="7" fillId="2" fontId="45" numFmtId="164" xfId="0">
      <alignment horizontal="general" indent="0" shrinkToFit="false" textRotation="0" vertical="center" wrapText="true"/>
    </xf>
    <xf applyAlignment="true" applyBorder="true" applyFont="true" applyProtection="false" borderId="10" fillId="2" fontId="45" numFmtId="164" xfId="0">
      <alignment horizontal="center" indent="0" shrinkToFit="false" textRotation="0" vertical="center" wrapText="false"/>
    </xf>
    <xf applyAlignment="true" applyBorder="true" applyFont="true" applyProtection="false" borderId="10" fillId="2" fontId="45" numFmtId="165" xfId="0">
      <alignment horizontal="center" indent="0" shrinkToFit="false" textRotation="0" vertical="center" wrapText="false"/>
    </xf>
    <xf applyAlignment="true" applyBorder="true" applyFont="true" applyProtection="false" borderId="10" fillId="2" fontId="45" numFmtId="169" xfId="0">
      <alignment horizontal="center" indent="0" shrinkToFit="false" textRotation="0" vertical="center" wrapText="true"/>
    </xf>
    <xf applyAlignment="true" applyBorder="true" applyFont="true" applyProtection="false" borderId="9" fillId="2" fontId="45" numFmtId="172" xfId="0">
      <alignment horizontal="center" indent="0" shrinkToFit="false" textRotation="0" vertical="center" wrapText="false"/>
    </xf>
    <xf applyAlignment="true" applyBorder="true" applyFont="true" applyProtection="false" borderId="7" fillId="4" fontId="47" numFmtId="164" xfId="0">
      <alignment horizontal="general" indent="0" shrinkToFit="false" textRotation="0" vertical="center" wrapText="false"/>
    </xf>
    <xf applyAlignment="true" applyBorder="true" applyFont="true" applyProtection="false" borderId="10" fillId="4" fontId="47" numFmtId="164" xfId="0">
      <alignment horizontal="general" indent="0" shrinkToFit="false" textRotation="0" vertical="center" wrapText="false"/>
    </xf>
    <xf applyAlignment="true" applyBorder="true" applyFont="true" applyProtection="false" borderId="10" fillId="4" fontId="34" numFmtId="169" xfId="0">
      <alignment horizontal="center" indent="0" shrinkToFit="false" textRotation="0" vertical="center" wrapText="false"/>
    </xf>
    <xf applyAlignment="true" applyBorder="true" applyFont="true" applyProtection="false" borderId="9" fillId="4" fontId="47" numFmtId="164" xfId="0">
      <alignment horizontal="general" indent="0" shrinkToFit="false" textRotation="0" vertical="center" wrapText="false"/>
    </xf>
    <xf applyAlignment="true" applyBorder="true" applyFont="true" applyProtection="false" borderId="7" fillId="7" fontId="49" numFmtId="164" xfId="0">
      <alignment horizontal="general" indent="0" shrinkToFit="false" textRotation="0" vertical="center" wrapText="false"/>
    </xf>
    <xf applyAlignment="true" applyBorder="true" applyFont="true" applyProtection="true" borderId="10" fillId="7" fontId="45" numFmtId="171" xfId="19">
      <alignment horizontal="center" indent="0" shrinkToFit="false" textRotation="0" vertical="center" wrapText="false"/>
      <protection hidden="false" locked="true"/>
    </xf>
    <xf applyAlignment="true" applyBorder="true" applyFont="true" applyProtection="true" borderId="10" fillId="7" fontId="41" numFmtId="173" xfId="19">
      <alignment horizontal="center" indent="0" shrinkToFit="false" textRotation="0" vertical="center" wrapText="false"/>
      <protection hidden="false" locked="true"/>
    </xf>
    <xf applyAlignment="true" applyBorder="true" applyFont="true" applyProtection="true" borderId="9" fillId="7" fontId="45" numFmtId="171" xfId="19">
      <alignment horizontal="center" indent="0" shrinkToFit="false" textRotation="0" vertical="center" wrapText="false"/>
      <protection hidden="false" locked="true"/>
    </xf>
    <xf applyAlignment="true" applyBorder="true" applyFont="true" applyProtection="false" borderId="11" fillId="2" fontId="45" numFmtId="164" xfId="0">
      <alignment horizontal="general" indent="0" shrinkToFit="false" textRotation="0" vertical="center" wrapText="true"/>
    </xf>
    <xf applyAlignment="true" applyBorder="true" applyFont="true" applyProtection="false" borderId="12" fillId="2" fontId="45" numFmtId="169" xfId="0">
      <alignment horizontal="center" indent="0" shrinkToFit="false" textRotation="0" vertical="center" wrapText="true"/>
    </xf>
    <xf applyAlignment="true" applyBorder="true" applyFont="true" applyProtection="false" borderId="19" fillId="2" fontId="45" numFmtId="172" xfId="0">
      <alignment horizontal="center" indent="0" shrinkToFit="false" textRotation="0" vertical="center" wrapText="false"/>
    </xf>
    <xf applyAlignment="true" applyBorder="true" applyFont="true" applyProtection="true" borderId="10" fillId="0" fontId="45" numFmtId="169" xfId="0">
      <alignment horizontal="center" indent="0" shrinkToFit="false" textRotation="0" vertical="center" wrapText="true"/>
      <protection hidden="false" locked="false"/>
    </xf>
    <xf applyAlignment="true" applyBorder="true" applyFont="true" applyProtection="true" borderId="12" fillId="0" fontId="45" numFmtId="169" xfId="0">
      <alignment horizontal="center" indent="0" shrinkToFit="false" textRotation="0" vertical="center" wrapText="true"/>
      <protection hidden="false" locked="false"/>
    </xf>
    <xf applyAlignment="true" applyBorder="false" applyFont="true" applyProtection="true" borderId="0" fillId="0" fontId="0" numFmtId="164" xfId="0">
      <alignment horizontal="center" indent="0" shrinkToFit="false" textRotation="0" vertical="center" wrapText="false"/>
      <protection hidden="false" locked="false"/>
    </xf>
    <xf applyAlignment="true" applyBorder="true" applyFont="true" applyProtection="false" borderId="12" fillId="2" fontId="45" numFmtId="164" xfId="0">
      <alignment horizontal="center" indent="0" shrinkToFit="false" textRotation="0" vertical="center" wrapText="false"/>
    </xf>
    <xf applyAlignment="true" applyBorder="true" applyFont="true" applyProtection="false" borderId="12" fillId="2" fontId="45" numFmtId="165" xfId="0">
      <alignment horizontal="center" indent="0" shrinkToFit="false" textRotation="0" vertical="center" wrapText="false"/>
    </xf>
    <xf applyAlignment="true" applyBorder="false" applyFont="true" applyProtection="false" borderId="0" fillId="0" fontId="45" numFmtId="164" xfId="0">
      <alignment horizontal="left" indent="0" shrinkToFit="false" textRotation="0" vertical="bottom" wrapText="false"/>
    </xf>
    <xf applyAlignment="false" applyBorder="false" applyFont="true" applyProtection="false" borderId="0" fillId="0" fontId="0" numFmtId="164" xfId="0"/>
    <xf applyAlignment="false" applyBorder="false" applyFont="true" applyProtection="false" borderId="0" fillId="0" fontId="27" numFmtId="164" xfId="0"/>
    <xf applyAlignment="true" applyBorder="false" applyFont="true" applyProtection="true" borderId="0" fillId="0" fontId="40" numFmtId="164" xfId="0">
      <alignment horizontal="left" indent="0" shrinkToFit="false" textRotation="0" vertical="bottom" wrapText="false"/>
      <protection hidden="false" locked="true"/>
    </xf>
    <xf applyAlignment="true" applyBorder="true" applyFont="true" applyProtection="false" borderId="13" fillId="4" fontId="47" numFmtId="164" xfId="0">
      <alignment horizontal="general" indent="0" shrinkToFit="false" textRotation="0" vertical="center" wrapText="false"/>
    </xf>
    <xf applyAlignment="true" applyBorder="true" applyFont="true" applyProtection="false" borderId="27" fillId="4" fontId="47" numFmtId="164" xfId="0">
      <alignment horizontal="general" indent="0" shrinkToFit="false" textRotation="0" vertical="center" wrapText="false"/>
    </xf>
    <xf applyAlignment="true" applyBorder="true" applyFont="true" applyProtection="false" borderId="27" fillId="4" fontId="34" numFmtId="169" xfId="0">
      <alignment horizontal="center" indent="0" shrinkToFit="false" textRotation="0" vertical="center" wrapText="false"/>
    </xf>
    <xf applyAlignment="true" applyBorder="true" applyFont="true" applyProtection="false" borderId="27" fillId="4" fontId="34" numFmtId="165" xfId="0">
      <alignment horizontal="center" indent="0" shrinkToFit="false" textRotation="0" vertical="center" wrapText="false"/>
    </xf>
    <xf applyAlignment="true" applyBorder="true" applyFont="true" applyProtection="false" borderId="8" fillId="4" fontId="47" numFmtId="164" xfId="0">
      <alignment horizontal="center" indent="0" shrinkToFit="false" textRotation="0" vertical="center" wrapText="false"/>
    </xf>
    <xf applyAlignment="true" applyBorder="false" applyFont="true" applyProtection="true" borderId="0" fillId="0" fontId="44" numFmtId="164" xfId="0">
      <alignment horizontal="general" indent="0" shrinkToFit="false" textRotation="0" vertical="center" wrapText="false"/>
      <protection hidden="false" locked="true"/>
    </xf>
    <xf applyAlignment="true" applyBorder="false" applyFont="true" applyProtection="true" borderId="0" fillId="0" fontId="31" numFmtId="164" xfId="0">
      <alignment horizontal="general" indent="0" shrinkToFit="false" textRotation="0" vertical="center" wrapText="false"/>
      <protection hidden="false" locked="true"/>
    </xf>
    <xf applyAlignment="true" applyBorder="true" applyFont="true" applyProtection="true" borderId="39" fillId="11" fontId="48" numFmtId="164" xfId="0">
      <alignment horizontal="center" indent="0" shrinkToFit="false" textRotation="0" vertical="center" wrapText="true"/>
      <protection hidden="false" locked="true"/>
    </xf>
    <xf applyAlignment="true" applyBorder="true" applyFont="true" applyProtection="true" borderId="27" fillId="11" fontId="48" numFmtId="164" xfId="0">
      <alignment horizontal="center" indent="0" shrinkToFit="false" textRotation="0" vertical="center" wrapText="true"/>
      <protection hidden="false" locked="true"/>
    </xf>
    <xf applyAlignment="true" applyBorder="true" applyFont="true" applyProtection="true" borderId="40" fillId="11" fontId="48" numFmtId="164" xfId="0">
      <alignment horizontal="center" indent="0" shrinkToFit="false" textRotation="0" vertical="center" wrapText="true"/>
      <protection hidden="false" locked="true"/>
    </xf>
    <xf applyAlignment="true" applyBorder="true" applyFont="true" applyProtection="true" borderId="41" fillId="11" fontId="48" numFmtId="164" xfId="0">
      <alignment horizontal="center" indent="0" shrinkToFit="false" textRotation="0" vertical="center" wrapText="true"/>
      <protection hidden="false" locked="true"/>
    </xf>
    <xf applyAlignment="true" applyBorder="true" applyFont="true" applyProtection="true" borderId="42" fillId="11" fontId="48" numFmtId="164" xfId="0">
      <alignment horizontal="center" indent="0" shrinkToFit="false" textRotation="0" vertical="center" wrapText="true"/>
      <protection hidden="false" locked="true"/>
    </xf>
    <xf applyAlignment="true" applyBorder="true" applyFont="true" applyProtection="true" borderId="0" fillId="0" fontId="31" numFmtId="164" xfId="0">
      <alignment horizontal="center" indent="0" shrinkToFit="false" textRotation="0" vertical="center" wrapText="true"/>
      <protection hidden="false" locked="true"/>
    </xf>
    <xf applyAlignment="true" applyBorder="true" applyFont="true" applyProtection="true" borderId="17" fillId="4" fontId="30" numFmtId="164" xfId="0">
      <alignment horizontal="left" indent="0" shrinkToFit="false" textRotation="0" vertical="center" wrapText="true"/>
      <protection hidden="false" locked="true"/>
    </xf>
    <xf applyAlignment="true" applyBorder="true" applyFont="true" applyProtection="true" borderId="21" fillId="4" fontId="37" numFmtId="164" xfId="0">
      <alignment horizontal="center" indent="0" shrinkToFit="false" textRotation="0" vertical="center" wrapText="false"/>
      <protection hidden="false" locked="true"/>
    </xf>
    <xf applyAlignment="true" applyBorder="true" applyFont="true" applyProtection="true" borderId="21" fillId="4" fontId="37" numFmtId="165" xfId="0">
      <alignment horizontal="center" indent="0" shrinkToFit="false" textRotation="0" vertical="center" wrapText="false"/>
      <protection hidden="false" locked="true"/>
    </xf>
    <xf applyAlignment="true" applyBorder="true" applyFont="true" applyProtection="true" borderId="21" fillId="4" fontId="37" numFmtId="169" xfId="0">
      <alignment horizontal="center" indent="0" shrinkToFit="false" textRotation="0" vertical="center" wrapText="false"/>
      <protection hidden="false" locked="true"/>
    </xf>
    <xf applyAlignment="true" applyBorder="true" applyFont="true" applyProtection="true" borderId="18" fillId="4" fontId="37" numFmtId="171" xfId="19">
      <alignment horizontal="center" indent="0" shrinkToFit="false" textRotation="0" vertical="center" wrapText="false"/>
      <protection hidden="false" locked="true"/>
    </xf>
    <xf applyAlignment="true" applyBorder="true" applyFont="true" applyProtection="true" borderId="0" fillId="0" fontId="31" numFmtId="164" xfId="0">
      <alignment horizontal="general" indent="0" shrinkToFit="false" textRotation="0" vertical="center" wrapText="false"/>
      <protection hidden="false" locked="true"/>
    </xf>
    <xf applyAlignment="true" applyBorder="true" applyFont="true" applyProtection="true" borderId="7" fillId="5" fontId="32" numFmtId="164" xfId="0">
      <alignment horizontal="left" indent="1" shrinkToFit="false" textRotation="0" vertical="center" wrapText="true"/>
      <protection hidden="false" locked="true"/>
    </xf>
    <xf applyAlignment="true" applyBorder="true" applyFont="true" applyProtection="true" borderId="10" fillId="0" fontId="32" numFmtId="164" xfId="0">
      <alignment horizontal="center" indent="0" shrinkToFit="false" textRotation="0" vertical="center" wrapText="false"/>
      <protection hidden="false" locked="false"/>
    </xf>
    <xf applyAlignment="true" applyBorder="true" applyFont="true" applyProtection="true" borderId="10" fillId="2" fontId="32" numFmtId="165" xfId="0">
      <alignment horizontal="center" indent="0" shrinkToFit="false" textRotation="0" vertical="center" wrapText="false"/>
      <protection hidden="false" locked="true"/>
    </xf>
    <xf applyAlignment="true" applyBorder="true" applyFont="true" applyProtection="true" borderId="10" fillId="2" fontId="32" numFmtId="169" xfId="0">
      <alignment horizontal="center" indent="0" shrinkToFit="false" textRotation="0" vertical="center" wrapText="false"/>
      <protection hidden="false" locked="true"/>
    </xf>
    <xf applyAlignment="true" applyBorder="true" applyFont="true" applyProtection="true" borderId="9" fillId="2" fontId="32" numFmtId="171" xfId="19">
      <alignment horizontal="center" indent="0" shrinkToFit="false" textRotation="0" vertical="center" wrapText="false"/>
      <protection hidden="false" locked="true"/>
    </xf>
    <xf applyAlignment="true" applyBorder="true" applyFont="true" applyProtection="true" borderId="7" fillId="4" fontId="30" numFmtId="164" xfId="0">
      <alignment horizontal="left" indent="0" shrinkToFit="false" textRotation="0" vertical="center" wrapText="true"/>
      <protection hidden="false" locked="true"/>
    </xf>
    <xf applyAlignment="true" applyBorder="true" applyFont="true" applyProtection="true" borderId="10" fillId="4" fontId="37" numFmtId="164" xfId="0">
      <alignment horizontal="center" indent="0" shrinkToFit="false" textRotation="0" vertical="center" wrapText="false"/>
      <protection hidden="false" locked="true"/>
    </xf>
    <xf applyAlignment="true" applyBorder="true" applyFont="true" applyProtection="true" borderId="10" fillId="4" fontId="37" numFmtId="165" xfId="0">
      <alignment horizontal="center" indent="0" shrinkToFit="false" textRotation="0" vertical="center" wrapText="false"/>
      <protection hidden="false" locked="true"/>
    </xf>
    <xf applyAlignment="true" applyBorder="true" applyFont="true" applyProtection="true" borderId="9" fillId="4" fontId="37" numFmtId="171" xfId="19">
      <alignment horizontal="center" indent="0" shrinkToFit="false" textRotation="0" vertical="center" wrapText="false"/>
      <protection hidden="false" locked="true"/>
    </xf>
    <xf applyAlignment="true" applyBorder="true" applyFont="true" applyProtection="true" borderId="7" fillId="7" fontId="48" numFmtId="164" xfId="0">
      <alignment horizontal="left" indent="0" shrinkToFit="false" textRotation="0" vertical="center" wrapText="true"/>
      <protection hidden="false" locked="true"/>
    </xf>
    <xf applyAlignment="true" applyBorder="true" applyFont="true" applyProtection="true" borderId="10" fillId="7" fontId="33" numFmtId="164" xfId="0">
      <alignment horizontal="center" indent="0" shrinkToFit="false" textRotation="0" vertical="center" wrapText="false"/>
      <protection hidden="false" locked="true"/>
    </xf>
    <xf applyAlignment="true" applyBorder="true" applyFont="true" applyProtection="true" borderId="10" fillId="7" fontId="33" numFmtId="165" xfId="0">
      <alignment horizontal="center" indent="0" shrinkToFit="false" textRotation="0" vertical="center" wrapText="false"/>
      <protection hidden="false" locked="true"/>
    </xf>
    <xf applyAlignment="true" applyBorder="true" applyFont="true" applyProtection="true" borderId="9" fillId="7" fontId="33" numFmtId="171" xfId="0">
      <alignment horizontal="center" indent="0" shrinkToFit="false" textRotation="0" vertical="center" wrapText="false"/>
      <protection hidden="false" locked="true"/>
    </xf>
    <xf applyAlignment="true" applyBorder="true" applyFont="true" applyProtection="true" borderId="10" fillId="0" fontId="31" numFmtId="164" xfId="0">
      <alignment horizontal="center" indent="0" shrinkToFit="false" textRotation="0" vertical="center" wrapText="false"/>
      <protection hidden="false" locked="false"/>
    </xf>
    <xf applyAlignment="true" applyBorder="true" applyFont="true" applyProtection="true" borderId="11" fillId="5" fontId="32" numFmtId="164" xfId="0">
      <alignment horizontal="left" indent="1" shrinkToFit="false" textRotation="0" vertical="center" wrapText="true"/>
      <protection hidden="false" locked="true"/>
    </xf>
    <xf applyAlignment="true" applyBorder="true" applyFont="true" applyProtection="true" borderId="12" fillId="0" fontId="31" numFmtId="164" xfId="0">
      <alignment horizontal="center" indent="0" shrinkToFit="false" textRotation="0" vertical="center" wrapText="false"/>
      <protection hidden="false" locked="false"/>
    </xf>
    <xf applyAlignment="true" applyBorder="true" applyFont="true" applyProtection="true" borderId="12" fillId="2" fontId="32" numFmtId="165" xfId="0">
      <alignment horizontal="center" indent="0" shrinkToFit="false" textRotation="0" vertical="center" wrapText="false"/>
      <protection hidden="false" locked="true"/>
    </xf>
    <xf applyAlignment="true" applyBorder="true" applyFont="true" applyProtection="true" borderId="12" fillId="2" fontId="32" numFmtId="169" xfId="0">
      <alignment horizontal="center" indent="0" shrinkToFit="false" textRotation="0" vertical="center" wrapText="false"/>
      <protection hidden="false" locked="true"/>
    </xf>
    <xf applyAlignment="true" applyBorder="true" applyFont="true" applyProtection="true" borderId="19" fillId="2" fontId="32" numFmtId="171" xfId="19">
      <alignment horizontal="center" indent="0" shrinkToFit="false" textRotation="0" vertical="center" wrapText="false"/>
      <protection hidden="false" locked="true"/>
    </xf>
    <xf applyAlignment="true" applyBorder="true" applyFont="true" applyProtection="true" borderId="0" fillId="0" fontId="41" numFmtId="164" xfId="0">
      <alignment horizontal="center" indent="0" shrinkToFit="false" textRotation="0" vertical="center" wrapText="false"/>
      <protection hidden="false" locked="true"/>
    </xf>
    <xf applyAlignment="true" applyBorder="true" applyFont="true" applyProtection="true" borderId="43" fillId="11" fontId="44" numFmtId="164" xfId="0">
      <alignment horizontal="center" indent="0" shrinkToFit="false" textRotation="0" vertical="center" wrapText="true"/>
      <protection hidden="false" locked="true"/>
    </xf>
    <xf applyAlignment="true" applyBorder="true" applyFont="true" applyProtection="true" borderId="14" fillId="11" fontId="41" numFmtId="164" xfId="0">
      <alignment horizontal="center" indent="0" shrinkToFit="false" textRotation="0" vertical="center" wrapText="true"/>
      <protection hidden="false" locked="true"/>
    </xf>
    <xf applyAlignment="true" applyBorder="true" applyFont="true" applyProtection="true" borderId="0" fillId="0" fontId="41" numFmtId="164" xfId="0">
      <alignment horizontal="center" indent="0" shrinkToFit="false" textRotation="0" vertical="center" wrapText="true"/>
      <protection hidden="false" locked="true"/>
    </xf>
    <xf applyAlignment="true" applyBorder="true" applyFont="true" applyProtection="true" borderId="44" fillId="11" fontId="44" numFmtId="164" xfId="0">
      <alignment horizontal="center" indent="0" shrinkToFit="false" textRotation="0" vertical="center" wrapText="true"/>
      <protection hidden="false" locked="true"/>
    </xf>
    <xf applyAlignment="true" applyBorder="true" applyFont="true" applyProtection="true" borderId="42" fillId="11" fontId="44" numFmtId="164" xfId="0">
      <alignment horizontal="center" indent="0" shrinkToFit="false" textRotation="0" vertical="center" wrapText="true"/>
      <protection hidden="false" locked="true"/>
    </xf>
    <xf applyAlignment="true" applyBorder="true" applyFont="true" applyProtection="true" borderId="45" fillId="11" fontId="44" numFmtId="164" xfId="0">
      <alignment horizontal="center" indent="0" shrinkToFit="false" textRotation="0" vertical="center" wrapText="true"/>
      <protection hidden="false" locked="true"/>
    </xf>
    <xf applyAlignment="true" applyBorder="true" applyFont="true" applyProtection="true" borderId="46" fillId="5" fontId="32" numFmtId="164" xfId="0">
      <alignment horizontal="left" indent="1" shrinkToFit="false" textRotation="0" vertical="center" wrapText="true"/>
      <protection hidden="false" locked="true"/>
    </xf>
    <xf applyAlignment="true" applyBorder="true" applyFont="true" applyProtection="true" borderId="17" fillId="0" fontId="43" numFmtId="169" xfId="0">
      <alignment horizontal="center" indent="0" shrinkToFit="false" textRotation="0" vertical="center" wrapText="false"/>
      <protection hidden="false" locked="false"/>
    </xf>
    <xf applyAlignment="true" applyBorder="true" applyFont="true" applyProtection="true" borderId="21" fillId="0" fontId="43" numFmtId="169" xfId="0">
      <alignment horizontal="center" indent="0" shrinkToFit="false" textRotation="0" vertical="center" wrapText="false"/>
      <protection hidden="false" locked="false"/>
    </xf>
    <xf applyAlignment="true" applyBorder="true" applyFont="true" applyProtection="true" borderId="21" fillId="2" fontId="31" numFmtId="171" xfId="0">
      <alignment horizontal="center" indent="0" shrinkToFit="false" textRotation="0" vertical="center" wrapText="false"/>
      <protection hidden="false" locked="true"/>
    </xf>
    <xf applyAlignment="true" applyBorder="true" applyFont="true" applyProtection="true" borderId="18" fillId="0" fontId="43" numFmtId="169" xfId="0">
      <alignment horizontal="center" indent="0" shrinkToFit="false" textRotation="0" vertical="center" wrapText="false"/>
      <protection hidden="false" locked="false"/>
    </xf>
    <xf applyAlignment="true" applyBorder="true" applyFont="true" applyProtection="true" borderId="0" fillId="0" fontId="31" numFmtId="171" xfId="19">
      <alignment horizontal="center" indent="0" shrinkToFit="false" textRotation="0" vertical="center" wrapText="false"/>
      <protection hidden="false" locked="true"/>
    </xf>
    <xf applyAlignment="true" applyBorder="true" applyFont="true" applyProtection="true" borderId="47" fillId="5" fontId="32" numFmtId="164" xfId="0">
      <alignment horizontal="left" indent="1" shrinkToFit="false" textRotation="0" vertical="center" wrapText="true"/>
      <protection hidden="false" locked="true"/>
    </xf>
    <xf applyAlignment="true" applyBorder="true" applyFont="true" applyProtection="true" borderId="7" fillId="0" fontId="43" numFmtId="169" xfId="0">
      <alignment horizontal="center" indent="0" shrinkToFit="false" textRotation="0" vertical="center" wrapText="false"/>
      <protection hidden="false" locked="false"/>
    </xf>
    <xf applyAlignment="true" applyBorder="true" applyFont="true" applyProtection="true" borderId="10" fillId="0" fontId="43" numFmtId="169" xfId="0">
      <alignment horizontal="center" indent="0" shrinkToFit="false" textRotation="0" vertical="center" wrapText="false"/>
      <protection hidden="false" locked="false"/>
    </xf>
    <xf applyAlignment="true" applyBorder="true" applyFont="true" applyProtection="true" borderId="10" fillId="2" fontId="31" numFmtId="171" xfId="0">
      <alignment horizontal="center" indent="0" shrinkToFit="false" textRotation="0" vertical="center" wrapText="false"/>
      <protection hidden="false" locked="true"/>
    </xf>
    <xf applyAlignment="true" applyBorder="true" applyFont="true" applyProtection="true" borderId="9" fillId="0" fontId="43" numFmtId="169" xfId="0">
      <alignment horizontal="center" indent="0" shrinkToFit="false" textRotation="0" vertical="center" wrapText="false"/>
      <protection hidden="false" locked="false"/>
    </xf>
    <xf applyAlignment="true" applyBorder="true" applyFont="true" applyProtection="true" borderId="48" fillId="7" fontId="48" numFmtId="164" xfId="0">
      <alignment horizontal="left" indent="0" shrinkToFit="false" textRotation="0" vertical="center" wrapText="true"/>
      <protection hidden="false" locked="true"/>
    </xf>
    <xf applyAlignment="true" applyBorder="true" applyFont="true" applyProtection="true" borderId="11" fillId="7" fontId="31" numFmtId="164" xfId="0">
      <alignment horizontal="center" indent="0" shrinkToFit="false" textRotation="0" vertical="center" wrapText="false"/>
      <protection hidden="false" locked="true"/>
    </xf>
    <xf applyAlignment="true" applyBorder="true" applyFont="true" applyProtection="true" borderId="12" fillId="7" fontId="31" numFmtId="164" xfId="0">
      <alignment horizontal="center" indent="0" shrinkToFit="false" textRotation="0" vertical="center" wrapText="false"/>
      <protection hidden="false" locked="true"/>
    </xf>
    <xf applyAlignment="true" applyBorder="true" applyFont="true" applyProtection="true" borderId="12" fillId="7" fontId="31" numFmtId="171" xfId="0">
      <alignment horizontal="center" indent="0" shrinkToFit="false" textRotation="0" vertical="center" wrapText="false"/>
      <protection hidden="false" locked="true"/>
    </xf>
    <xf applyAlignment="true" applyBorder="true" applyFont="true" applyProtection="true" borderId="19" fillId="7" fontId="31" numFmtId="164" xfId="0">
      <alignment horizontal="center" indent="0" shrinkToFit="false" textRotation="0" vertical="center" wrapText="false"/>
      <protection hidden="false" locked="true"/>
    </xf>
    <xf applyAlignment="true" applyBorder="true" applyFont="true" applyProtection="true" borderId="0" fillId="0" fontId="31" numFmtId="164" xfId="0">
      <alignment horizontal="center" indent="0" shrinkToFit="false" textRotation="0" vertical="center" wrapText="false"/>
      <protection hidden="false" locked="true"/>
    </xf>
    <xf applyAlignment="true" applyBorder="true" applyFont="true" applyProtection="true" borderId="0" fillId="0" fontId="31" numFmtId="171" xfId="0">
      <alignment horizontal="center" indent="0" shrinkToFit="false" textRotation="0" vertical="center" wrapText="false"/>
      <protection hidden="false" locked="true"/>
    </xf>
    <xf applyAlignment="true" applyBorder="true" applyFont="true" applyProtection="true" borderId="49" fillId="11" fontId="44" numFmtId="164" xfId="0">
      <alignment horizontal="center" indent="0" shrinkToFit="false" textRotation="0" vertical="center" wrapText="true"/>
      <protection hidden="false" locked="true"/>
    </xf>
    <xf applyAlignment="true" applyBorder="true" applyFont="true" applyProtection="true" borderId="14" fillId="11" fontId="41" numFmtId="164" xfId="0">
      <alignment horizontal="center" indent="0" shrinkToFit="false" textRotation="0" vertical="center" wrapText="false"/>
      <protection hidden="false" locked="true"/>
    </xf>
    <xf applyAlignment="true" applyBorder="true" applyFont="true" applyProtection="true" borderId="50" fillId="11" fontId="41" numFmtId="164" xfId="0">
      <alignment horizontal="center" indent="0" shrinkToFit="false" textRotation="0" vertical="center" wrapText="false"/>
      <protection hidden="false" locked="true"/>
    </xf>
    <xf applyAlignment="true" applyBorder="true" applyFont="true" applyProtection="true" borderId="49" fillId="11" fontId="48" numFmtId="164" xfId="0">
      <alignment horizontal="center" indent="0" shrinkToFit="false" textRotation="0" vertical="center" wrapText="true"/>
      <protection hidden="false" locked="true"/>
    </xf>
    <xf applyAlignment="true" applyBorder="true" applyFont="true" applyProtection="true" borderId="43" fillId="11" fontId="48" numFmtId="164" xfId="0">
      <alignment horizontal="center" indent="0" shrinkToFit="false" textRotation="0" vertical="center" wrapText="true"/>
      <protection hidden="false" locked="true"/>
    </xf>
    <xf applyAlignment="true" applyBorder="true" applyFont="true" applyProtection="true" borderId="45" fillId="11" fontId="48" numFmtId="164" xfId="0">
      <alignment horizontal="center" indent="0" shrinkToFit="false" textRotation="0" vertical="center" wrapText="true"/>
      <protection hidden="false" locked="true"/>
    </xf>
    <xf applyAlignment="true" applyBorder="true" applyFont="true" applyProtection="true" borderId="51" fillId="11" fontId="44" numFmtId="164" xfId="0">
      <alignment horizontal="center" indent="0" shrinkToFit="false" textRotation="0" vertical="center" wrapText="true"/>
      <protection hidden="false" locked="true"/>
    </xf>
    <xf applyAlignment="true" applyBorder="true" applyFont="true" applyProtection="true" borderId="52" fillId="11" fontId="48" numFmtId="164" xfId="0">
      <alignment horizontal="center" indent="0" shrinkToFit="false" textRotation="0" vertical="center" wrapText="true"/>
      <protection hidden="false" locked="true"/>
    </xf>
    <xf applyAlignment="true" applyBorder="true" applyFont="true" applyProtection="true" borderId="53" fillId="5" fontId="32" numFmtId="164" xfId="0">
      <alignment horizontal="left" indent="1" shrinkToFit="false" textRotation="0" vertical="center" wrapText="true"/>
      <protection hidden="false" locked="true"/>
    </xf>
    <xf applyAlignment="true" applyBorder="true" applyFont="true" applyProtection="true" borderId="23" fillId="0" fontId="31" numFmtId="169" xfId="0">
      <alignment horizontal="center" indent="0" shrinkToFit="false" textRotation="0" vertical="center" wrapText="false"/>
      <protection hidden="false" locked="false"/>
    </xf>
    <xf applyAlignment="true" applyBorder="true" applyFont="true" applyProtection="true" borderId="24" fillId="0" fontId="31" numFmtId="169" xfId="0">
      <alignment horizontal="center" indent="0" shrinkToFit="false" textRotation="0" vertical="center" wrapText="false"/>
      <protection hidden="false" locked="false"/>
    </xf>
    <xf applyAlignment="true" applyBorder="true" applyFont="true" applyProtection="true" borderId="24" fillId="2" fontId="31" numFmtId="171" xfId="0">
      <alignment horizontal="center" indent="0" shrinkToFit="false" textRotation="0" vertical="center" wrapText="false"/>
      <protection hidden="false" locked="true"/>
    </xf>
    <xf applyAlignment="true" applyBorder="true" applyFont="true" applyProtection="true" borderId="25" fillId="0" fontId="31" numFmtId="169" xfId="0">
      <alignment horizontal="center" indent="0" shrinkToFit="false" textRotation="0" vertical="center" wrapText="false"/>
      <protection hidden="false" locked="false"/>
    </xf>
    <xf applyAlignment="true" applyBorder="true" applyFont="true" applyProtection="true" borderId="31" fillId="0" fontId="31" numFmtId="169" xfId="0">
      <alignment horizontal="center" indent="0" shrinkToFit="false" textRotation="0" vertical="center" wrapText="false"/>
      <protection hidden="false" locked="false"/>
    </xf>
    <xf applyAlignment="true" applyBorder="true" applyFont="true" applyProtection="true" borderId="54" fillId="0" fontId="31" numFmtId="169" xfId="0">
      <alignment horizontal="center" indent="0" shrinkToFit="false" textRotation="0" vertical="center" wrapText="false"/>
      <protection hidden="false" locked="false"/>
    </xf>
    <xf applyAlignment="true" applyBorder="true" applyFont="true" applyProtection="true" borderId="53" fillId="2" fontId="41" numFmtId="172" xfId="19">
      <alignment horizontal="center" indent="0" shrinkToFit="false" textRotation="0" vertical="center" wrapText="false"/>
      <protection hidden="false" locked="true"/>
    </xf>
    <xf applyAlignment="true" applyBorder="true" applyFont="true" applyProtection="true" borderId="55" fillId="2" fontId="41" numFmtId="172" xfId="19">
      <alignment horizontal="center" indent="0" shrinkToFit="false" textRotation="0" vertical="center" wrapText="false"/>
      <protection hidden="false" locked="true"/>
    </xf>
    <xf applyAlignment="true" applyBorder="true" applyFont="true" applyProtection="true" borderId="0" fillId="0" fontId="28" numFmtId="164" xfId="0">
      <alignment horizontal="left" indent="0" shrinkToFit="false" textRotation="0" vertical="center" wrapText="false"/>
      <protection hidden="false" locked="true"/>
    </xf>
    <xf applyAlignment="true" applyBorder="true" applyFont="true" applyProtection="true" borderId="13" fillId="2" fontId="44" numFmtId="164" xfId="0">
      <alignment horizontal="center" indent="0" shrinkToFit="false" textRotation="0" vertical="center" wrapText="true"/>
      <protection hidden="false" locked="true"/>
    </xf>
    <xf applyAlignment="true" applyBorder="true" applyFont="true" applyProtection="true" borderId="8" fillId="0" fontId="44" numFmtId="164" xfId="0">
      <alignment horizontal="center" indent="0" shrinkToFit="false" textRotation="0" vertical="center" wrapText="true"/>
      <protection hidden="false" locked="true"/>
    </xf>
    <xf applyAlignment="true" applyBorder="false" applyFont="true" applyProtection="true" borderId="0" fillId="0" fontId="31" numFmtId="164" xfId="0">
      <alignment horizontal="general" indent="0" shrinkToFit="false" textRotation="0" vertical="center" wrapText="true"/>
      <protection hidden="false" locked="true"/>
    </xf>
    <xf applyAlignment="true" applyBorder="true" applyFont="true" applyProtection="true" borderId="2" fillId="0" fontId="44" numFmtId="164" xfId="0">
      <alignment horizontal="center" indent="0" shrinkToFit="false" textRotation="0" vertical="center" wrapText="true"/>
      <protection hidden="false" locked="true"/>
    </xf>
    <xf applyAlignment="true" applyBorder="true" applyFont="true" applyProtection="true" borderId="10" fillId="2" fontId="44" numFmtId="164" xfId="0">
      <alignment horizontal="center" indent="0" shrinkToFit="false" textRotation="0" vertical="center" wrapText="true"/>
      <protection hidden="false" locked="true"/>
    </xf>
    <xf applyAlignment="true" applyBorder="true" applyFont="true" applyProtection="true" borderId="9" fillId="2" fontId="44" numFmtId="164" xfId="0">
      <alignment horizontal="center" indent="0" shrinkToFit="false" textRotation="0" vertical="center" wrapText="true"/>
      <protection hidden="false" locked="true"/>
    </xf>
    <xf applyAlignment="true" applyBorder="true" applyFont="true" applyProtection="true" borderId="34" fillId="7" fontId="44" numFmtId="164" xfId="0">
      <alignment horizontal="center" indent="0" shrinkToFit="false" textRotation="0" vertical="center" wrapText="true"/>
      <protection hidden="false" locked="true"/>
    </xf>
    <xf applyAlignment="true" applyBorder="true" applyFont="true" applyProtection="true" borderId="35" fillId="7" fontId="44" numFmtId="164" xfId="0">
      <alignment horizontal="center" indent="0" shrinkToFit="false" textRotation="0" vertical="center" wrapText="true"/>
      <protection hidden="false" locked="true"/>
    </xf>
    <xf applyAlignment="true" applyBorder="true" applyFont="true" applyProtection="true" borderId="36" fillId="7" fontId="44" numFmtId="164" xfId="0">
      <alignment horizontal="center" indent="0" shrinkToFit="false" textRotation="0" vertical="center" wrapText="true"/>
      <protection hidden="false" locked="true"/>
    </xf>
    <xf applyAlignment="true" applyBorder="true" applyFont="true" applyProtection="true" borderId="56" fillId="14" fontId="44" numFmtId="164" xfId="0">
      <alignment horizontal="center" indent="0" shrinkToFit="false" textRotation="0" vertical="center" wrapText="true"/>
      <protection hidden="false" locked="true"/>
    </xf>
    <xf applyAlignment="true" applyBorder="true" applyFont="true" applyProtection="true" borderId="35" fillId="14" fontId="44" numFmtId="164" xfId="0">
      <alignment horizontal="center" indent="0" shrinkToFit="false" textRotation="0" vertical="center" wrapText="true"/>
      <protection hidden="false" locked="true"/>
    </xf>
    <xf applyAlignment="true" applyBorder="true" applyFont="true" applyProtection="true" borderId="36" fillId="14" fontId="44" numFmtId="164" xfId="0">
      <alignment horizontal="center" indent="0" shrinkToFit="false" textRotation="0" vertical="center" wrapText="true"/>
      <protection hidden="false" locked="true"/>
    </xf>
    <xf applyAlignment="true" applyBorder="true" applyFont="true" applyProtection="true" borderId="7" fillId="2" fontId="43" numFmtId="164" xfId="0">
      <alignment horizontal="left" indent="0" shrinkToFit="false" textRotation="0" vertical="center" wrapText="true"/>
      <protection hidden="false" locked="true"/>
    </xf>
    <xf applyAlignment="true" applyBorder="true" applyFont="true" applyProtection="true" borderId="10" fillId="0" fontId="43" numFmtId="169" xfId="0">
      <alignment horizontal="center" indent="0" shrinkToFit="false" textRotation="0" vertical="center" wrapText="false"/>
      <protection hidden="false" locked="false"/>
    </xf>
    <xf applyAlignment="true" applyBorder="true" applyFont="true" applyProtection="true" borderId="10" fillId="2" fontId="31" numFmtId="169" xfId="0">
      <alignment horizontal="center" indent="0" shrinkToFit="false" textRotation="0" vertical="center" wrapText="false"/>
      <protection hidden="false" locked="true"/>
    </xf>
    <xf applyAlignment="true" applyBorder="true" applyFont="true" applyProtection="true" borderId="9" fillId="2" fontId="43" numFmtId="169" xfId="0">
      <alignment horizontal="center" indent="0" shrinkToFit="false" textRotation="0" vertical="center" wrapText="false"/>
      <protection hidden="false" locked="true"/>
    </xf>
    <xf applyAlignment="true" applyBorder="false" applyFont="true" applyProtection="true" borderId="0" fillId="0" fontId="31" numFmtId="164" xfId="0">
      <alignment horizontal="center" indent="0" shrinkToFit="false" textRotation="0" vertical="center" wrapText="false"/>
      <protection hidden="false" locked="true"/>
    </xf>
    <xf applyAlignment="true" applyBorder="true" applyFont="true" applyProtection="true" borderId="17" fillId="2" fontId="31" numFmtId="170" xfId="0">
      <alignment horizontal="center" indent="0" shrinkToFit="false" textRotation="0" vertical="center" wrapText="false"/>
      <protection hidden="false" locked="true"/>
    </xf>
    <xf applyAlignment="true" applyBorder="true" applyFont="true" applyProtection="true" borderId="21" fillId="2" fontId="31" numFmtId="170" xfId="0">
      <alignment horizontal="center" indent="0" shrinkToFit="false" textRotation="0" vertical="center" wrapText="false"/>
      <protection hidden="false" locked="true"/>
    </xf>
    <xf applyAlignment="true" applyBorder="true" applyFont="true" applyProtection="true" borderId="18" fillId="2" fontId="31" numFmtId="175" xfId="0">
      <alignment horizontal="center" indent="0" shrinkToFit="false" textRotation="0" vertical="center" wrapText="false"/>
      <protection hidden="false" locked="true"/>
    </xf>
    <xf applyAlignment="true" applyBorder="true" applyFont="true" applyProtection="true" borderId="57" fillId="7" fontId="31" numFmtId="170" xfId="0">
      <alignment horizontal="center" indent="0" shrinkToFit="false" textRotation="0" vertical="center" wrapText="false"/>
      <protection hidden="false" locked="true"/>
    </xf>
    <xf applyAlignment="true" applyBorder="true" applyFont="true" applyProtection="true" borderId="21" fillId="7" fontId="31" numFmtId="170" xfId="0">
      <alignment horizontal="center" indent="0" shrinkToFit="false" textRotation="0" vertical="center" wrapText="false"/>
      <protection hidden="false" locked="true"/>
    </xf>
    <xf applyAlignment="true" applyBorder="true" applyFont="true" applyProtection="true" borderId="18" fillId="7" fontId="31" numFmtId="175" xfId="0">
      <alignment horizontal="center" indent="0" shrinkToFit="false" textRotation="0" vertical="center" wrapText="false"/>
      <protection hidden="false" locked="true"/>
    </xf>
    <xf applyAlignment="true" applyBorder="true" applyFont="true" applyProtection="true" borderId="21" fillId="0" fontId="43" numFmtId="169" xfId="0">
      <alignment horizontal="center" indent="0" shrinkToFit="false" textRotation="0" vertical="center" wrapText="false"/>
      <protection hidden="false" locked="false"/>
    </xf>
    <xf applyAlignment="true" applyBorder="true" applyFont="true" applyProtection="true" borderId="21" fillId="0" fontId="0" numFmtId="169" xfId="0">
      <alignment horizontal="center" indent="0" shrinkToFit="false" textRotation="0" vertical="center" wrapText="false"/>
      <protection hidden="false" locked="false"/>
    </xf>
    <xf applyAlignment="true" applyBorder="true" applyFont="true" applyProtection="true" borderId="7" fillId="2" fontId="31" numFmtId="170" xfId="0">
      <alignment horizontal="center" indent="0" shrinkToFit="false" textRotation="0" vertical="center" wrapText="false"/>
      <protection hidden="false" locked="true"/>
    </xf>
    <xf applyAlignment="true" applyBorder="true" applyFont="true" applyProtection="true" borderId="10" fillId="2" fontId="31" numFmtId="170" xfId="0">
      <alignment horizontal="center" indent="0" shrinkToFit="false" textRotation="0" vertical="center" wrapText="false"/>
      <protection hidden="false" locked="true"/>
    </xf>
    <xf applyAlignment="true" applyBorder="true" applyFont="true" applyProtection="true" borderId="9" fillId="2" fontId="31" numFmtId="175" xfId="0">
      <alignment horizontal="center" indent="0" shrinkToFit="false" textRotation="0" vertical="center" wrapText="false"/>
      <protection hidden="false" locked="true"/>
    </xf>
    <xf applyAlignment="true" applyBorder="true" applyFont="true" applyProtection="true" borderId="29" fillId="7" fontId="31" numFmtId="170" xfId="0">
      <alignment horizontal="center" indent="0" shrinkToFit="false" textRotation="0" vertical="center" wrapText="false"/>
      <protection hidden="false" locked="true"/>
    </xf>
    <xf applyAlignment="true" applyBorder="true" applyFont="true" applyProtection="true" borderId="10" fillId="7" fontId="31" numFmtId="170" xfId="0">
      <alignment horizontal="center" indent="0" shrinkToFit="false" textRotation="0" vertical="center" wrapText="false"/>
      <protection hidden="false" locked="true"/>
    </xf>
    <xf applyAlignment="true" applyBorder="true" applyFont="true" applyProtection="true" borderId="9" fillId="7" fontId="31" numFmtId="175" xfId="0">
      <alignment horizontal="center" indent="0" shrinkToFit="false" textRotation="0" vertical="center" wrapText="false"/>
      <protection hidden="false" locked="true"/>
    </xf>
    <xf applyAlignment="true" applyBorder="true" applyFont="true" applyProtection="true" borderId="58" fillId="2" fontId="31" numFmtId="164" xfId="0">
      <alignment horizontal="left" indent="0" shrinkToFit="false" textRotation="0" vertical="center" wrapText="true"/>
      <protection hidden="false" locked="true"/>
    </xf>
    <xf applyAlignment="true" applyBorder="true" applyFont="true" applyProtection="true" borderId="22" fillId="0" fontId="43" numFmtId="169" xfId="0">
      <alignment horizontal="center" indent="0" shrinkToFit="false" textRotation="0" vertical="center" wrapText="false"/>
      <protection hidden="false" locked="false"/>
    </xf>
    <xf applyAlignment="true" applyBorder="true" applyFont="true" applyProtection="true" borderId="58" fillId="2" fontId="31" numFmtId="170" xfId="0">
      <alignment horizontal="center" indent="0" shrinkToFit="false" textRotation="0" vertical="center" wrapText="false"/>
      <protection hidden="false" locked="true"/>
    </xf>
    <xf applyAlignment="true" applyBorder="true" applyFont="true" applyProtection="true" borderId="32" fillId="2" fontId="31" numFmtId="170" xfId="0">
      <alignment horizontal="center" indent="0" shrinkToFit="false" textRotation="0" vertical="center" wrapText="false"/>
      <protection hidden="false" locked="true"/>
    </xf>
    <xf applyAlignment="true" applyBorder="true" applyFont="true" applyProtection="true" borderId="59" fillId="2" fontId="31" numFmtId="175" xfId="0">
      <alignment horizontal="center" indent="0" shrinkToFit="false" textRotation="0" vertical="center" wrapText="false"/>
      <protection hidden="false" locked="true"/>
    </xf>
    <xf applyAlignment="true" applyBorder="true" applyFont="true" applyProtection="true" borderId="60" fillId="7" fontId="31" numFmtId="170" xfId="0">
      <alignment horizontal="center" indent="0" shrinkToFit="false" textRotation="0" vertical="center" wrapText="false"/>
      <protection hidden="false" locked="true"/>
    </xf>
    <xf applyAlignment="true" applyBorder="true" applyFont="true" applyProtection="true" borderId="32" fillId="7" fontId="31" numFmtId="170" xfId="0">
      <alignment horizontal="center" indent="0" shrinkToFit="false" textRotation="0" vertical="center" wrapText="false"/>
      <protection hidden="false" locked="true"/>
    </xf>
    <xf applyAlignment="true" applyBorder="true" applyFont="true" applyProtection="true" borderId="59" fillId="7" fontId="31" numFmtId="175" xfId="0">
      <alignment horizontal="center" indent="0" shrinkToFit="false" textRotation="0" vertical="center" wrapText="false"/>
      <protection hidden="false" locked="true"/>
    </xf>
    <xf applyAlignment="true" applyBorder="true" applyFont="true" applyProtection="true" borderId="5" fillId="15" fontId="44" numFmtId="164" xfId="0">
      <alignment horizontal="left" indent="0" shrinkToFit="false" textRotation="0" vertical="center" wrapText="true"/>
      <protection hidden="false" locked="true"/>
    </xf>
    <xf applyAlignment="true" applyBorder="true" applyFont="true" applyProtection="true" borderId="20" fillId="15" fontId="44" numFmtId="169" xfId="0">
      <alignment horizontal="center" indent="0" shrinkToFit="false" textRotation="0" vertical="center" wrapText="false"/>
      <protection hidden="false" locked="true"/>
    </xf>
    <xf applyAlignment="true" applyBorder="true" applyFont="true" applyProtection="true" borderId="6" fillId="15" fontId="44" numFmtId="169" xfId="0">
      <alignment horizontal="center" indent="0" shrinkToFit="false" textRotation="0" vertical="center" wrapText="false"/>
      <protection hidden="false" locked="true"/>
    </xf>
    <xf applyAlignment="true" applyBorder="true" applyFont="true" applyProtection="true" borderId="5" fillId="15" fontId="44" numFmtId="170" xfId="0">
      <alignment horizontal="center" indent="0" shrinkToFit="false" textRotation="0" vertical="center" wrapText="false"/>
      <protection hidden="false" locked="true"/>
    </xf>
    <xf applyAlignment="true" applyBorder="true" applyFont="true" applyProtection="true" borderId="20" fillId="15" fontId="44" numFmtId="170" xfId="0">
      <alignment horizontal="center" indent="0" shrinkToFit="false" textRotation="0" vertical="center" wrapText="false"/>
      <protection hidden="false" locked="true"/>
    </xf>
    <xf applyAlignment="true" applyBorder="true" applyFont="true" applyProtection="true" borderId="6" fillId="15" fontId="44" numFmtId="170" xfId="0">
      <alignment horizontal="center" indent="0" shrinkToFit="false" textRotation="0" vertical="center" wrapText="false"/>
      <protection hidden="false" locked="true"/>
    </xf>
    <xf applyAlignment="true" applyBorder="false" applyFont="true" applyProtection="false" borderId="0" fillId="0" fontId="51" numFmtId="164" xfId="0">
      <alignment horizontal="left" indent="0" shrinkToFit="false" textRotation="0" vertical="center" wrapText="false"/>
    </xf>
    <xf applyAlignment="true" applyBorder="false" applyFont="true" applyProtection="false" borderId="0" fillId="0" fontId="52" numFmtId="164" xfId="0">
      <alignment horizontal="general" indent="0" shrinkToFit="false" textRotation="0" vertical="center" wrapText="false"/>
    </xf>
    <xf applyAlignment="true" applyBorder="false" applyFont="true" applyProtection="false" borderId="0" fillId="0" fontId="52" numFmtId="164" xfId="0">
      <alignment horizontal="center" indent="0" shrinkToFit="false" textRotation="0" vertical="center" wrapText="true"/>
    </xf>
    <xf applyAlignment="true" applyBorder="false" applyFont="false" applyProtection="false" borderId="0" fillId="0" fontId="0" numFmtId="164" xfId="0">
      <alignment horizontal="center" indent="0" shrinkToFit="false" textRotation="0" vertical="center" wrapText="false"/>
    </xf>
    <xf applyAlignment="true" applyBorder="false" applyFont="false" applyProtection="false" borderId="0" fillId="0" fontId="0" numFmtId="164" xfId="0">
      <alignment horizontal="general" indent="0" shrinkToFit="false" textRotation="0" vertical="center" wrapText="false"/>
    </xf>
    <xf applyAlignment="true" applyBorder="false" applyFont="true" applyProtection="true" borderId="0" fillId="0" fontId="40" numFmtId="164" xfId="0">
      <alignment horizontal="left" indent="0" shrinkToFit="false" textRotation="0" vertical="center" wrapText="false"/>
      <protection hidden="false" locked="true"/>
    </xf>
    <xf applyAlignment="true" applyBorder="true" applyFont="true" applyProtection="false" borderId="37" fillId="8" fontId="13" numFmtId="164" xfId="0">
      <alignment horizontal="general" indent="0" shrinkToFit="false" textRotation="0" vertical="center" wrapText="false"/>
    </xf>
    <xf applyAlignment="true" applyBorder="true" applyFont="true" applyProtection="false" borderId="38" fillId="8" fontId="13" numFmtId="164" xfId="0">
      <alignment horizontal="center" indent="0" shrinkToFit="false" textRotation="0" vertical="center" wrapText="true"/>
    </xf>
    <xf applyAlignment="true" applyBorder="true" applyFont="true" applyProtection="false" borderId="37" fillId="14" fontId="12" numFmtId="164" xfId="0">
      <alignment horizontal="center" indent="0" shrinkToFit="false" textRotation="0" vertical="center" wrapText="false"/>
    </xf>
    <xf applyAlignment="true" applyBorder="true" applyFont="true" applyProtection="false" borderId="26" fillId="2" fontId="49" numFmtId="164" xfId="0">
      <alignment horizontal="center" indent="0" shrinkToFit="false" textRotation="0" vertical="center" wrapText="true"/>
    </xf>
    <xf applyAlignment="true" applyBorder="true" applyFont="true" applyProtection="false" borderId="61" fillId="16" fontId="44" numFmtId="164" xfId="0">
      <alignment horizontal="center" indent="0" shrinkToFit="false" textRotation="0" vertical="center" wrapText="true"/>
    </xf>
    <xf applyAlignment="true" applyBorder="true" applyFont="true" applyProtection="false" borderId="14" fillId="4" fontId="39" numFmtId="164" xfId="0">
      <alignment horizontal="left" indent="0" shrinkToFit="false" textRotation="0" vertical="center" wrapText="false"/>
    </xf>
    <xf applyAlignment="true" applyBorder="true" applyFont="true" applyProtection="false" borderId="28" fillId="0" fontId="40" numFmtId="164" xfId="0">
      <alignment horizontal="general" indent="0" shrinkToFit="false" textRotation="0" vertical="center" wrapText="false"/>
    </xf>
    <xf applyAlignment="true" applyBorder="true" applyFont="true" applyProtection="true" borderId="27" fillId="0" fontId="38" numFmtId="169" xfId="0">
      <alignment horizontal="center" indent="0" shrinkToFit="false" textRotation="0" vertical="center" wrapText="true"/>
      <protection hidden="false" locked="false"/>
    </xf>
    <xf applyAlignment="true" applyBorder="true" applyFont="false" applyProtection="false" borderId="14" fillId="7" fontId="0" numFmtId="164" xfId="0">
      <alignment horizontal="center" indent="0" shrinkToFit="false" textRotation="0" vertical="center" wrapText="false"/>
    </xf>
    <xf applyAlignment="true" applyBorder="true" applyFont="true" applyProtection="false" borderId="47" fillId="4" fontId="39" numFmtId="164" xfId="0">
      <alignment horizontal="left" indent="0" shrinkToFit="false" textRotation="0" vertical="center" wrapText="false"/>
    </xf>
    <xf applyAlignment="true" applyBorder="true" applyFont="true" applyProtection="false" borderId="60" fillId="8" fontId="40" numFmtId="164" xfId="0">
      <alignment horizontal="general" indent="0" shrinkToFit="false" textRotation="0" vertical="center" wrapText="false"/>
    </xf>
    <xf applyAlignment="true" applyBorder="true" applyFont="true" applyProtection="false" borderId="32" fillId="8" fontId="44" numFmtId="164" xfId="0">
      <alignment horizontal="center" indent="0" shrinkToFit="false" textRotation="0" vertical="center" wrapText="true"/>
    </xf>
    <xf applyAlignment="true" applyBorder="true" applyFont="false" applyProtection="false" borderId="47" fillId="8" fontId="0" numFmtId="164" xfId="0">
      <alignment horizontal="center" indent="0" shrinkToFit="false" textRotation="0" vertical="center" wrapText="false"/>
    </xf>
    <xf applyAlignment="true" applyBorder="true" applyFont="true" applyProtection="false" borderId="62" fillId="4" fontId="53" numFmtId="164" xfId="0">
      <alignment horizontal="general" indent="0" shrinkToFit="false" textRotation="0" vertical="center" wrapText="false"/>
    </xf>
    <xf applyAlignment="true" applyBorder="true" applyFont="true" applyProtection="false" borderId="63" fillId="4" fontId="5" numFmtId="164" xfId="0">
      <alignment horizontal="center" indent="0" shrinkToFit="false" textRotation="0" vertical="center" wrapText="true"/>
    </xf>
    <xf applyAlignment="true" applyBorder="true" applyFont="true" applyProtection="false" borderId="64" fillId="4" fontId="5" numFmtId="164" xfId="0">
      <alignment horizontal="center" indent="0" shrinkToFit="false" textRotation="0" vertical="center" wrapText="true"/>
    </xf>
    <xf applyAlignment="true" applyBorder="true" applyFont="true" applyProtection="false" borderId="62" fillId="0" fontId="54" numFmtId="164" xfId="0">
      <alignment horizontal="general" indent="0" shrinkToFit="false" textRotation="0" vertical="center" wrapText="false"/>
    </xf>
    <xf applyAlignment="true" applyBorder="true" applyFont="true" applyProtection="true" borderId="21" fillId="0" fontId="43" numFmtId="164" xfId="0">
      <alignment horizontal="center" indent="0" shrinkToFit="false" textRotation="0" vertical="center" wrapText="true"/>
      <protection hidden="false" locked="false"/>
    </xf>
    <xf applyAlignment="true" applyBorder="true" applyFont="false" applyProtection="false" borderId="47" fillId="0" fontId="0" numFmtId="164" xfId="0">
      <alignment horizontal="center" indent="0" shrinkToFit="false" textRotation="0" vertical="center" wrapText="false"/>
    </xf>
    <xf applyAlignment="true" applyBorder="true" applyFont="true" applyProtection="false" borderId="47" fillId="7" fontId="41" numFmtId="164" xfId="0">
      <alignment horizontal="left" indent="0" shrinkToFit="false" textRotation="0" vertical="center" wrapText="false"/>
    </xf>
    <xf applyAlignment="true" applyBorder="true" applyFont="true" applyProtection="false" borderId="29" fillId="7" fontId="40" numFmtId="164" xfId="0">
      <alignment horizontal="left" indent="0" shrinkToFit="false" textRotation="0" vertical="center" wrapText="true"/>
    </xf>
    <xf applyAlignment="true" applyBorder="true" applyFont="true" applyProtection="true" borderId="10" fillId="0" fontId="43" numFmtId="164" xfId="0">
      <alignment horizontal="center" indent="0" shrinkToFit="false" textRotation="0" vertical="center" wrapText="true"/>
      <protection hidden="false" locked="false"/>
    </xf>
    <xf applyAlignment="true" applyBorder="true" applyFont="true" applyProtection="false" borderId="10" fillId="15" fontId="43" numFmtId="164" xfId="0">
      <alignment horizontal="center" indent="0" shrinkToFit="false" textRotation="0" vertical="center" wrapText="true"/>
    </xf>
    <xf applyAlignment="true" applyBorder="true" applyFont="true" applyProtection="false" borderId="10" fillId="11" fontId="43" numFmtId="164" xfId="0">
      <alignment horizontal="center" indent="0" shrinkToFit="false" textRotation="0" vertical="center" wrapText="true"/>
    </xf>
    <xf applyAlignment="true" applyBorder="true" applyFont="true" applyProtection="false" borderId="47" fillId="11" fontId="43" numFmtId="164" xfId="0">
      <alignment horizontal="center" indent="0" shrinkToFit="false" textRotation="0" vertical="center" wrapText="true"/>
    </xf>
    <xf applyAlignment="true" applyBorder="true" applyFont="true" applyProtection="false" borderId="47" fillId="10" fontId="55" numFmtId="164" xfId="0">
      <alignment horizontal="left" indent="0" shrinkToFit="false" textRotation="0" vertical="center" wrapText="false"/>
    </xf>
    <xf applyAlignment="true" applyBorder="true" applyFont="true" applyProtection="false" borderId="29" fillId="10" fontId="33" numFmtId="164" xfId="0">
      <alignment horizontal="left" indent="2" shrinkToFit="false" textRotation="0" vertical="center" wrapText="true"/>
    </xf>
    <xf applyAlignment="true" applyBorder="true" applyFont="true" applyProtection="false" borderId="10" fillId="10" fontId="43" numFmtId="164" xfId="0">
      <alignment horizontal="center" indent="0" shrinkToFit="false" textRotation="0" vertical="center" wrapText="true"/>
    </xf>
    <xf applyAlignment="true" applyBorder="true" applyFont="true" applyProtection="false" borderId="47" fillId="10" fontId="43" numFmtId="164" xfId="0">
      <alignment horizontal="center" indent="0" shrinkToFit="false" textRotation="0" vertical="center" wrapText="true"/>
    </xf>
    <xf applyAlignment="true" applyBorder="true" applyFont="true" applyProtection="false" borderId="47" fillId="0" fontId="51" numFmtId="164" xfId="0">
      <alignment horizontal="left" indent="0" shrinkToFit="false" textRotation="0" vertical="center" wrapText="false"/>
    </xf>
    <xf applyAlignment="true" applyBorder="true" applyFont="true" applyProtection="false" borderId="29" fillId="0" fontId="33" numFmtId="164" xfId="0">
      <alignment horizontal="left" indent="3" shrinkToFit="false" textRotation="0" vertical="center" wrapText="true"/>
    </xf>
    <xf applyAlignment="true" applyBorder="true" applyFont="true" applyProtection="false" borderId="10" fillId="7" fontId="43" numFmtId="164" xfId="0">
      <alignment horizontal="center" indent="0" shrinkToFit="false" textRotation="0" vertical="center" wrapText="true"/>
    </xf>
    <xf applyAlignment="true" applyBorder="true" applyFont="true" applyProtection="false" borderId="47" fillId="7" fontId="43" numFmtId="164" xfId="0">
      <alignment horizontal="center" indent="0" shrinkToFit="false" textRotation="0" vertical="center" wrapText="true"/>
    </xf>
    <xf applyAlignment="true" applyBorder="true" applyFont="true" applyProtection="false" borderId="47" fillId="0" fontId="55" numFmtId="164" xfId="0">
      <alignment horizontal="left" indent="0" shrinkToFit="false" textRotation="0" vertical="center" wrapText="false"/>
    </xf>
    <xf applyAlignment="true" applyBorder="false" applyFont="true" applyProtection="true" borderId="0" fillId="0" fontId="52" numFmtId="164" xfId="0">
      <alignment horizontal="center" indent="0" shrinkToFit="false" textRotation="0" vertical="center" wrapText="true"/>
      <protection hidden="false" locked="false"/>
    </xf>
    <xf applyAlignment="true" applyBorder="true" applyFont="true" applyProtection="true" borderId="10" fillId="0" fontId="43" numFmtId="173" xfId="0">
      <alignment horizontal="center" indent="0" shrinkToFit="false" textRotation="0" vertical="center" wrapText="true"/>
      <protection hidden="false" locked="false"/>
    </xf>
    <xf applyAlignment="true" applyBorder="true" applyFont="false" applyProtection="false" borderId="47" fillId="7" fontId="0" numFmtId="164" xfId="0">
      <alignment horizontal="center" indent="0" shrinkToFit="false" textRotation="0" vertical="center" wrapText="false"/>
    </xf>
    <xf applyAlignment="true" applyBorder="true" applyFont="true" applyProtection="false" borderId="47" fillId="0" fontId="27" numFmtId="164" xfId="0">
      <alignment horizontal="left" indent="0" shrinkToFit="false" textRotation="0" vertical="center" wrapText="false"/>
    </xf>
    <xf applyAlignment="true" applyBorder="true" applyFont="true" applyProtection="false" borderId="29" fillId="17" fontId="33" numFmtId="164" xfId="0">
      <alignment horizontal="left" indent="3" shrinkToFit="false" textRotation="0" vertical="center" wrapText="true"/>
    </xf>
    <xf applyAlignment="true" applyBorder="true" applyFont="true" applyProtection="false" borderId="10" fillId="17" fontId="43" numFmtId="164" xfId="0">
      <alignment horizontal="center" indent="0" shrinkToFit="false" textRotation="0" vertical="center" wrapText="true"/>
    </xf>
    <xf applyAlignment="true" applyBorder="true" applyFont="true" applyProtection="false" borderId="47" fillId="17" fontId="43" numFmtId="164" xfId="0">
      <alignment horizontal="center" indent="0" shrinkToFit="false" textRotation="0" vertical="center" wrapText="true"/>
    </xf>
    <xf applyAlignment="true" applyBorder="true" applyFont="true" applyProtection="false" borderId="29" fillId="18" fontId="56" numFmtId="164" xfId="0">
      <alignment horizontal="general" indent="0" shrinkToFit="false" textRotation="0" vertical="center" wrapText="false"/>
    </xf>
    <xf applyAlignment="true" applyBorder="true" applyFont="true" applyProtection="false" borderId="10" fillId="18" fontId="43" numFmtId="164" xfId="0">
      <alignment horizontal="center" indent="0" shrinkToFit="false" textRotation="0" vertical="center" wrapText="true"/>
    </xf>
    <xf applyAlignment="true" applyBorder="true" applyFont="true" applyProtection="false" borderId="47" fillId="18" fontId="43" numFmtId="164" xfId="0">
      <alignment horizontal="center" indent="0" shrinkToFit="false" textRotation="0" vertical="center" wrapText="true"/>
    </xf>
    <xf applyAlignment="true" applyBorder="true" applyFont="true" applyProtection="false" borderId="29" fillId="19" fontId="56" numFmtId="164" xfId="0">
      <alignment horizontal="general" indent="0" shrinkToFit="false" textRotation="0" vertical="center" wrapText="false"/>
    </xf>
    <xf applyAlignment="true" applyBorder="true" applyFont="true" applyProtection="false" borderId="10" fillId="0" fontId="57" numFmtId="164" xfId="0">
      <alignment horizontal="center" indent="0" shrinkToFit="false" textRotation="0" vertical="center" wrapText="true"/>
    </xf>
    <xf applyAlignment="true" applyBorder="true" applyFont="true" applyProtection="false" borderId="29" fillId="0" fontId="56" numFmtId="164" xfId="0">
      <alignment horizontal="general" indent="0" shrinkToFit="false" textRotation="0" vertical="center" wrapText="false"/>
    </xf>
    <xf applyAlignment="true" applyBorder="true" applyFont="true" applyProtection="false" borderId="10" fillId="0" fontId="44" numFmtId="165" xfId="0">
      <alignment horizontal="center" indent="0" shrinkToFit="false" textRotation="0" vertical="center" wrapText="true"/>
    </xf>
    <xf applyAlignment="true" applyBorder="true" applyFont="true" applyProtection="false" borderId="48" fillId="4" fontId="39" numFmtId="164" xfId="0">
      <alignment horizontal="left" indent="0" shrinkToFit="false" textRotation="0" vertical="center" wrapText="false"/>
    </xf>
    <xf applyAlignment="true" applyBorder="true" applyFont="true" applyProtection="false" borderId="30" fillId="0" fontId="56" numFmtId="164" xfId="0">
      <alignment horizontal="general" indent="0" shrinkToFit="false" textRotation="0" vertical="center" wrapText="false"/>
    </xf>
    <xf applyAlignment="true" applyBorder="true" applyFont="true" applyProtection="false" borderId="12" fillId="0" fontId="44" numFmtId="165" xfId="0">
      <alignment horizontal="center" indent="0" shrinkToFit="false" textRotation="0" vertical="center" wrapText="true"/>
    </xf>
    <xf applyAlignment="true" applyBorder="true" applyFont="false" applyProtection="false" borderId="48" fillId="8" fontId="0" numFmtId="164" xfId="0">
      <alignment horizontal="center" indent="0" shrinkToFit="false" textRotation="0" vertical="center" wrapText="false"/>
    </xf>
    <xf applyAlignment="false" applyBorder="false" applyFont="true" applyProtection="true" borderId="0" fillId="0" fontId="31" numFmtId="164" xfId="0">
      <protection hidden="false" locked="true"/>
    </xf>
    <xf applyAlignment="false" applyBorder="false" applyFont="true" applyProtection="true" borderId="0" fillId="0" fontId="43" numFmtId="164" xfId="0">
      <protection hidden="false" locked="true"/>
    </xf>
    <xf applyAlignment="true" applyBorder="false" applyFont="true" applyProtection="true" borderId="0" fillId="0" fontId="28" numFmtId="164" xfId="0">
      <alignment horizontal="left" indent="0" shrinkToFit="false" textRotation="0" vertical="bottom" wrapText="false"/>
      <protection hidden="false" locked="true"/>
    </xf>
    <xf applyAlignment="true" applyBorder="false" applyFont="true" applyProtection="true" borderId="0" fillId="0" fontId="44" numFmtId="164" xfId="0">
      <alignment horizontal="left" indent="0" shrinkToFit="false" textRotation="0" vertical="bottom" wrapText="false"/>
      <protection hidden="false" locked="true"/>
    </xf>
    <xf applyAlignment="true" applyBorder="true" applyFont="true" applyProtection="true" borderId="0" fillId="0" fontId="44" numFmtId="164" xfId="0">
      <alignment horizontal="left" indent="0" shrinkToFit="false" textRotation="0" vertical="bottom" wrapText="false"/>
      <protection hidden="false" locked="true"/>
    </xf>
    <xf applyAlignment="true" applyBorder="true" applyFont="true" applyProtection="true" borderId="2" fillId="7" fontId="44" numFmtId="164" xfId="0">
      <alignment horizontal="center" indent="0" shrinkToFit="false" textRotation="0" vertical="center" wrapText="true"/>
      <protection hidden="false" locked="true"/>
    </xf>
    <xf applyAlignment="true" applyBorder="true" applyFont="true" applyProtection="true" borderId="2" fillId="20" fontId="44" numFmtId="164" xfId="0">
      <alignment horizontal="center" indent="0" shrinkToFit="false" textRotation="0" vertical="center" wrapText="true"/>
      <protection hidden="false" locked="true"/>
    </xf>
    <xf applyAlignment="true" applyBorder="true" applyFont="true" applyProtection="true" borderId="2" fillId="21" fontId="44" numFmtId="164" xfId="0">
      <alignment horizontal="center" indent="0" shrinkToFit="false" textRotation="0" vertical="center" wrapText="true"/>
      <protection hidden="false" locked="true"/>
    </xf>
    <xf applyAlignment="true" applyBorder="true" applyFont="true" applyProtection="true" borderId="65" fillId="14" fontId="44" numFmtId="164" xfId="0">
      <alignment horizontal="center" indent="0" shrinkToFit="false" textRotation="0" vertical="center" wrapText="true"/>
      <protection hidden="false" locked="true"/>
    </xf>
    <xf applyAlignment="true" applyBorder="true" applyFont="true" applyProtection="true" borderId="65" fillId="2" fontId="44" numFmtId="164" xfId="0">
      <alignment horizontal="left" indent="1" shrinkToFit="false" textRotation="0" vertical="center" wrapText="true"/>
      <protection hidden="false" locked="true"/>
    </xf>
    <xf applyAlignment="true" applyBorder="true" applyFont="true" applyProtection="true" borderId="66" fillId="2" fontId="31" numFmtId="164" xfId="0">
      <alignment horizontal="center" indent="0" shrinkToFit="false" textRotation="0" vertical="center" wrapText="true"/>
      <protection hidden="false" locked="true"/>
    </xf>
    <xf applyAlignment="true" applyBorder="true" applyFont="true" applyProtection="true" borderId="67" fillId="2" fontId="31" numFmtId="164" xfId="0">
      <alignment horizontal="center" indent="0" shrinkToFit="false" textRotation="0" vertical="center" wrapText="true"/>
      <protection hidden="false" locked="true"/>
    </xf>
    <xf applyAlignment="true" applyBorder="true" applyFont="true" applyProtection="true" borderId="68" fillId="2" fontId="31" numFmtId="164" xfId="0">
      <alignment horizontal="center" indent="0" shrinkToFit="false" textRotation="0" vertical="center" wrapText="true"/>
      <protection hidden="false" locked="true"/>
    </xf>
    <xf applyAlignment="true" applyBorder="true" applyFont="true" applyProtection="true" borderId="69" fillId="2" fontId="31" numFmtId="164" xfId="0">
      <alignment horizontal="center" indent="0" shrinkToFit="false" textRotation="0" vertical="center" wrapText="true"/>
      <protection hidden="false" locked="true"/>
    </xf>
    <xf applyAlignment="true" applyBorder="true" applyFont="true" applyProtection="true" borderId="70" fillId="2" fontId="31" numFmtId="164" xfId="0">
      <alignment horizontal="center" indent="0" shrinkToFit="false" textRotation="0" vertical="center" wrapText="true"/>
      <protection hidden="false" locked="true"/>
    </xf>
    <xf applyAlignment="true" applyBorder="true" applyFont="true" applyProtection="true" borderId="34" fillId="2" fontId="31" numFmtId="164" xfId="0">
      <alignment horizontal="center" indent="0" shrinkToFit="false" textRotation="0" vertical="center" wrapText="true"/>
      <protection hidden="false" locked="true"/>
    </xf>
    <xf applyAlignment="true" applyBorder="true" applyFont="true" applyProtection="true" borderId="56" fillId="2" fontId="31" numFmtId="164" xfId="0">
      <alignment horizontal="center" indent="0" shrinkToFit="false" textRotation="0" vertical="center" wrapText="true"/>
      <protection hidden="false" locked="true"/>
    </xf>
    <xf applyAlignment="true" applyBorder="true" applyFont="true" applyProtection="true" borderId="35" fillId="2" fontId="31" numFmtId="164" xfId="0">
      <alignment horizontal="center" indent="0" shrinkToFit="false" textRotation="0" vertical="center" wrapText="true"/>
      <protection hidden="false" locked="true"/>
    </xf>
    <xf applyAlignment="true" applyBorder="true" applyFont="true" applyProtection="true" borderId="71" fillId="2" fontId="31" numFmtId="164" xfId="0">
      <alignment horizontal="center" indent="0" shrinkToFit="false" textRotation="0" vertical="center" wrapText="true"/>
      <protection hidden="false" locked="true"/>
    </xf>
    <xf applyAlignment="true" applyBorder="true" applyFont="true" applyProtection="true" borderId="36" fillId="2" fontId="31" numFmtId="164" xfId="0">
      <alignment horizontal="center" indent="0" shrinkToFit="false" textRotation="0" vertical="center" wrapText="true"/>
      <protection hidden="false" locked="true"/>
    </xf>
    <xf applyAlignment="true" applyBorder="true" applyFont="true" applyProtection="true" borderId="46" fillId="2" fontId="58" numFmtId="164" xfId="0">
      <alignment horizontal="left" indent="1" shrinkToFit="false" textRotation="0" vertical="center" wrapText="true"/>
      <protection hidden="false" locked="true"/>
    </xf>
    <xf applyAlignment="true" applyBorder="true" applyFont="true" applyProtection="true" borderId="7" fillId="0" fontId="31" numFmtId="169" xfId="0">
      <alignment horizontal="center" indent="0" shrinkToFit="false" textRotation="0" vertical="bottom" wrapText="false"/>
      <protection hidden="false" locked="false"/>
    </xf>
    <xf applyAlignment="true" applyBorder="true" applyFont="true" applyProtection="true" borderId="10" fillId="0" fontId="31" numFmtId="169" xfId="0">
      <alignment horizontal="center" indent="0" shrinkToFit="false" textRotation="0" vertical="center" wrapText="true"/>
      <protection hidden="false" locked="false"/>
    </xf>
    <xf applyAlignment="true" applyBorder="true" applyFont="true" applyProtection="true" borderId="21" fillId="2" fontId="31" numFmtId="169" xfId="0">
      <alignment horizontal="center" indent="0" shrinkToFit="false" textRotation="0" vertical="center" wrapText="true"/>
      <protection hidden="false" locked="true"/>
    </xf>
    <xf applyAlignment="true" applyBorder="true" applyFont="true" applyProtection="true" borderId="18" fillId="2" fontId="31" numFmtId="171" xfId="0">
      <alignment horizontal="center" indent="0" shrinkToFit="false" textRotation="0" vertical="center" wrapText="true"/>
      <protection hidden="false" locked="true"/>
    </xf>
    <xf applyAlignment="true" applyBorder="true" applyFont="true" applyProtection="true" borderId="10" fillId="0" fontId="31" numFmtId="169" xfId="0">
      <alignment horizontal="center" indent="0" shrinkToFit="false" textRotation="0" vertical="bottom" wrapText="false"/>
      <protection hidden="false" locked="false"/>
    </xf>
    <xf applyAlignment="true" applyBorder="true" applyFont="true" applyProtection="true" borderId="7" fillId="0" fontId="31" numFmtId="169" xfId="0">
      <alignment horizontal="center" indent="0" shrinkToFit="false" textRotation="0" vertical="center" wrapText="true"/>
      <protection hidden="false" locked="false"/>
    </xf>
    <xf applyAlignment="true" applyBorder="true" applyFont="true" applyProtection="true" borderId="46" fillId="2" fontId="31" numFmtId="171" xfId="0">
      <alignment horizontal="center" indent="0" shrinkToFit="false" textRotation="0" vertical="center" wrapText="true"/>
      <protection hidden="false" locked="true"/>
    </xf>
    <xf applyAlignment="true" applyBorder="true" applyFont="true" applyProtection="true" borderId="72" fillId="2" fontId="31" numFmtId="171" xfId="0">
      <alignment horizontal="center" indent="0" shrinkToFit="false" textRotation="0" vertical="center" wrapText="true"/>
      <protection hidden="false" locked="true"/>
    </xf>
    <xf applyAlignment="true" applyBorder="true" applyFont="true" applyProtection="true" borderId="17" fillId="2" fontId="31" numFmtId="171" xfId="0">
      <alignment horizontal="center" indent="0" shrinkToFit="false" textRotation="0" vertical="center" wrapText="true"/>
      <protection hidden="false" locked="true"/>
    </xf>
    <xf applyAlignment="true" applyBorder="true" applyFont="true" applyProtection="true" borderId="21" fillId="2" fontId="31" numFmtId="171" xfId="0">
      <alignment horizontal="center" indent="0" shrinkToFit="false" textRotation="0" vertical="center" wrapText="true"/>
      <protection hidden="false" locked="true"/>
    </xf>
    <xf applyAlignment="true" applyBorder="true" applyFont="true" applyProtection="true" borderId="47" fillId="2" fontId="58" numFmtId="164" xfId="0">
      <alignment horizontal="left" indent="1" shrinkToFit="false" textRotation="0" vertical="center" wrapText="true"/>
      <protection hidden="false" locked="true"/>
    </xf>
    <xf applyAlignment="true" applyBorder="true" applyFont="true" applyProtection="true" borderId="10" fillId="2" fontId="31" numFmtId="169" xfId="0">
      <alignment horizontal="center" indent="0" shrinkToFit="false" textRotation="0" vertical="center" wrapText="true"/>
      <protection hidden="false" locked="true"/>
    </xf>
    <xf applyAlignment="true" applyBorder="true" applyFont="true" applyProtection="true" borderId="9" fillId="2" fontId="31" numFmtId="171" xfId="0">
      <alignment horizontal="center" indent="0" shrinkToFit="false" textRotation="0" vertical="center" wrapText="true"/>
      <protection hidden="false" locked="true"/>
    </xf>
    <xf applyAlignment="true" applyBorder="true" applyFont="true" applyProtection="true" borderId="47" fillId="2" fontId="31" numFmtId="171" xfId="0">
      <alignment horizontal="center" indent="0" shrinkToFit="false" textRotation="0" vertical="center" wrapText="true"/>
      <protection hidden="false" locked="true"/>
    </xf>
    <xf applyAlignment="true" applyBorder="true" applyFont="true" applyProtection="true" borderId="33" fillId="2" fontId="31" numFmtId="171" xfId="0">
      <alignment horizontal="center" indent="0" shrinkToFit="false" textRotation="0" vertical="center" wrapText="true"/>
      <protection hidden="false" locked="true"/>
    </xf>
    <xf applyAlignment="true" applyBorder="true" applyFont="true" applyProtection="true" borderId="7" fillId="2" fontId="31" numFmtId="171" xfId="0">
      <alignment horizontal="center" indent="0" shrinkToFit="false" textRotation="0" vertical="center" wrapText="true"/>
      <protection hidden="false" locked="true"/>
    </xf>
    <xf applyAlignment="true" applyBorder="true" applyFont="true" applyProtection="true" borderId="10" fillId="2" fontId="31" numFmtId="171" xfId="0">
      <alignment horizontal="center" indent="0" shrinkToFit="false" textRotation="0" vertical="center" wrapText="true"/>
      <protection hidden="false" locked="true"/>
    </xf>
    <xf applyAlignment="true" applyBorder="true" applyFont="true" applyProtection="true" borderId="58" fillId="0" fontId="31" numFmtId="169" xfId="0">
      <alignment horizontal="center" indent="0" shrinkToFit="false" textRotation="0" vertical="center" wrapText="true"/>
      <protection hidden="false" locked="false"/>
    </xf>
    <xf applyAlignment="true" applyBorder="true" applyFont="true" applyProtection="true" borderId="32" fillId="0" fontId="31" numFmtId="169" xfId="0">
      <alignment horizontal="center" indent="0" shrinkToFit="false" textRotation="0" vertical="center" wrapText="true"/>
      <protection hidden="false" locked="false"/>
    </xf>
    <xf applyAlignment="true" applyBorder="true" applyFont="true" applyProtection="true" borderId="32" fillId="2" fontId="31" numFmtId="169" xfId="0">
      <alignment horizontal="center" indent="0" shrinkToFit="false" textRotation="0" vertical="center" wrapText="true"/>
      <protection hidden="false" locked="true"/>
    </xf>
    <xf applyAlignment="true" applyBorder="true" applyFont="true" applyProtection="true" borderId="59" fillId="2" fontId="31" numFmtId="171" xfId="0">
      <alignment horizontal="center" indent="0" shrinkToFit="false" textRotation="0" vertical="center" wrapText="true"/>
      <protection hidden="false" locked="true"/>
    </xf>
    <xf applyAlignment="true" applyBorder="true" applyFont="true" applyProtection="true" borderId="73" fillId="2" fontId="58" numFmtId="164" xfId="0">
      <alignment horizontal="left" indent="1" shrinkToFit="false" textRotation="0" vertical="center" wrapText="true"/>
      <protection hidden="false" locked="true"/>
    </xf>
    <xf applyAlignment="true" applyBorder="true" applyFont="true" applyProtection="true" borderId="15" fillId="0" fontId="31" numFmtId="169" xfId="0">
      <alignment horizontal="center" indent="0" shrinkToFit="false" textRotation="0" vertical="bottom" wrapText="false"/>
      <protection hidden="false" locked="false"/>
    </xf>
    <xf applyAlignment="true" applyBorder="true" applyFont="true" applyProtection="true" borderId="22" fillId="0" fontId="31" numFmtId="169" xfId="0">
      <alignment horizontal="center" indent="0" shrinkToFit="false" textRotation="0" vertical="bottom" wrapText="false"/>
      <protection hidden="false" locked="false"/>
    </xf>
    <xf applyAlignment="true" applyBorder="true" applyFont="true" applyProtection="true" borderId="22" fillId="2" fontId="31" numFmtId="169" xfId="0">
      <alignment horizontal="center" indent="0" shrinkToFit="false" textRotation="0" vertical="center" wrapText="true"/>
      <protection hidden="false" locked="true"/>
    </xf>
    <xf applyAlignment="true" applyBorder="true" applyFont="true" applyProtection="true" borderId="16" fillId="2" fontId="31" numFmtId="171" xfId="0">
      <alignment horizontal="center" indent="0" shrinkToFit="false" textRotation="0" vertical="center" wrapText="true"/>
      <protection hidden="false" locked="true"/>
    </xf>
    <xf applyAlignment="true" applyBorder="true" applyFont="true" applyProtection="true" borderId="15" fillId="0" fontId="31" numFmtId="169" xfId="0">
      <alignment horizontal="center" indent="0" shrinkToFit="false" textRotation="0" vertical="center" wrapText="true"/>
      <protection hidden="false" locked="false"/>
    </xf>
    <xf applyAlignment="true" applyBorder="true" applyFont="true" applyProtection="true" borderId="22" fillId="0" fontId="31" numFmtId="169" xfId="0">
      <alignment horizontal="center" indent="0" shrinkToFit="false" textRotation="0" vertical="center" wrapText="true"/>
      <protection hidden="false" locked="false"/>
    </xf>
    <xf applyAlignment="true" applyBorder="true" applyFont="true" applyProtection="true" borderId="73" fillId="2" fontId="31" numFmtId="171" xfId="0">
      <alignment horizontal="center" indent="0" shrinkToFit="false" textRotation="0" vertical="center" wrapText="true"/>
      <protection hidden="false" locked="true"/>
    </xf>
    <xf applyAlignment="true" applyBorder="true" applyFont="true" applyProtection="true" borderId="74" fillId="2" fontId="31" numFmtId="171" xfId="0">
      <alignment horizontal="center" indent="0" shrinkToFit="false" textRotation="0" vertical="center" wrapText="true"/>
      <protection hidden="false" locked="true"/>
    </xf>
    <xf applyAlignment="true" applyBorder="true" applyFont="true" applyProtection="true" borderId="15" fillId="2" fontId="31" numFmtId="171" xfId="0">
      <alignment horizontal="center" indent="0" shrinkToFit="false" textRotation="0" vertical="center" wrapText="true"/>
      <protection hidden="false" locked="true"/>
    </xf>
    <xf applyAlignment="true" applyBorder="true" applyFont="true" applyProtection="true" borderId="22" fillId="2" fontId="31" numFmtId="171" xfId="0">
      <alignment horizontal="center" indent="0" shrinkToFit="false" textRotation="0" vertical="center" wrapText="true"/>
      <protection hidden="false" locked="true"/>
    </xf>
    <xf applyAlignment="true" applyBorder="true" applyFont="true" applyProtection="true" borderId="55" fillId="15" fontId="41" numFmtId="164" xfId="0">
      <alignment horizontal="left" indent="1" shrinkToFit="false" textRotation="0" vertical="center" wrapText="true"/>
      <protection hidden="false" locked="true"/>
    </xf>
    <xf applyAlignment="true" applyBorder="true" applyFont="true" applyProtection="true" borderId="23" fillId="15" fontId="31" numFmtId="169" xfId="0">
      <alignment horizontal="center" indent="0" shrinkToFit="false" textRotation="0" vertical="center" wrapText="true"/>
      <protection hidden="false" locked="true"/>
    </xf>
    <xf applyAlignment="true" applyBorder="true" applyFont="true" applyProtection="true" borderId="24" fillId="15" fontId="31" numFmtId="169" xfId="0">
      <alignment horizontal="center" indent="0" shrinkToFit="false" textRotation="0" vertical="center" wrapText="true"/>
      <protection hidden="false" locked="true"/>
    </xf>
    <xf applyAlignment="true" applyBorder="true" applyFont="true" applyProtection="true" borderId="25" fillId="15" fontId="31" numFmtId="171" xfId="0">
      <alignment horizontal="center" indent="0" shrinkToFit="false" textRotation="0" vertical="center" wrapText="true"/>
      <protection hidden="false" locked="true"/>
    </xf>
    <xf applyAlignment="true" applyBorder="true" applyFont="true" applyProtection="true" borderId="55" fillId="15" fontId="31" numFmtId="171" xfId="0">
      <alignment horizontal="center" indent="0" shrinkToFit="false" textRotation="0" vertical="center" wrapText="true"/>
      <protection hidden="false" locked="true"/>
    </xf>
    <xf applyAlignment="true" applyBorder="true" applyFont="true" applyProtection="true" borderId="31" fillId="15" fontId="31" numFmtId="169" xfId="0">
      <alignment horizontal="center" indent="0" shrinkToFit="false" textRotation="0" vertical="center" wrapText="true"/>
      <protection hidden="false" locked="true"/>
    </xf>
    <xf applyAlignment="true" applyBorder="true" applyFont="true" applyProtection="true" borderId="54" fillId="15" fontId="31" numFmtId="171" xfId="0">
      <alignment horizontal="center" indent="0" shrinkToFit="false" textRotation="0" vertical="center" wrapText="true"/>
      <protection hidden="false" locked="true"/>
    </xf>
    <xf applyAlignment="true" applyBorder="true" applyFont="true" applyProtection="true" borderId="53" fillId="15" fontId="31" numFmtId="171" xfId="0">
      <alignment horizontal="center" indent="0" shrinkToFit="false" textRotation="0" vertical="center" wrapText="true"/>
      <protection hidden="false" locked="true"/>
    </xf>
    <xf applyAlignment="true" applyBorder="true" applyFont="true" applyProtection="true" borderId="75" fillId="15" fontId="31" numFmtId="171" xfId="0">
      <alignment horizontal="center" indent="0" shrinkToFit="false" textRotation="0" vertical="center" wrapText="true"/>
      <protection hidden="false" locked="true"/>
    </xf>
    <xf applyAlignment="true" applyBorder="true" applyFont="true" applyProtection="true" borderId="24" fillId="15" fontId="31" numFmtId="171" xfId="0">
      <alignment horizontal="center" indent="0" shrinkToFit="false" textRotation="0" vertical="center" wrapText="true"/>
      <protection hidden="false" locked="true"/>
    </xf>
    <xf applyAlignment="false" applyBorder="false" applyFont="true" applyProtection="true" borderId="0" fillId="0" fontId="0" numFmtId="164" xfId="0">
      <protection hidden="false" locked="true"/>
    </xf>
    <xf applyAlignment="true" applyBorder="true" applyFont="true" applyProtection="true" borderId="0" fillId="0" fontId="28" numFmtId="164" xfId="0">
      <alignment horizontal="left" indent="0" shrinkToFit="false" textRotation="0" vertical="bottom" wrapText="false"/>
      <protection hidden="false" locked="true"/>
    </xf>
    <xf applyAlignment="true" applyBorder="true" applyFont="true" applyProtection="true" borderId="13" fillId="7" fontId="40" numFmtId="164" xfId="0">
      <alignment horizontal="center" indent="0" shrinkToFit="false" textRotation="0" vertical="center" wrapText="true"/>
      <protection hidden="false" locked="true"/>
    </xf>
    <xf applyAlignment="true" applyBorder="true" applyFont="true" applyProtection="true" borderId="27" fillId="7" fontId="40" numFmtId="164" xfId="0">
      <alignment horizontal="center" indent="0" shrinkToFit="false" textRotation="0" vertical="center" wrapText="true"/>
      <protection hidden="false" locked="true"/>
    </xf>
    <xf applyAlignment="true" applyBorder="true" applyFont="true" applyProtection="true" borderId="8" fillId="7" fontId="40" numFmtId="164" xfId="0">
      <alignment horizontal="center" indent="0" shrinkToFit="false" textRotation="0" vertical="center" wrapText="true"/>
      <protection hidden="false" locked="true"/>
    </xf>
    <xf applyAlignment="true" applyBorder="true" applyFont="true" applyProtection="true" borderId="7" fillId="11" fontId="57" numFmtId="164" xfId="0">
      <alignment horizontal="left" indent="1" shrinkToFit="false" textRotation="0" vertical="center" wrapText="true"/>
      <protection hidden="false" locked="true"/>
    </xf>
    <xf applyAlignment="true" applyBorder="true" applyFont="true" applyProtection="true" borderId="10" fillId="5" fontId="57" numFmtId="164" xfId="19">
      <alignment horizontal="center" indent="0" shrinkToFit="false" textRotation="0" vertical="center" wrapText="true"/>
      <protection hidden="false" locked="true"/>
    </xf>
    <xf applyAlignment="true" applyBorder="true" applyFont="true" applyProtection="true" borderId="9" fillId="5" fontId="57" numFmtId="164" xfId="19">
      <alignment horizontal="center" indent="0" shrinkToFit="false" textRotation="0" vertical="center" wrapText="true"/>
      <protection hidden="false" locked="true"/>
    </xf>
    <xf applyAlignment="true" applyBorder="true" applyFont="true" applyProtection="true" borderId="7" fillId="22" fontId="57" numFmtId="164" xfId="0">
      <alignment horizontal="left" indent="1" shrinkToFit="false" textRotation="0" vertical="center" wrapText="true"/>
      <protection hidden="false" locked="true"/>
    </xf>
    <xf applyAlignment="true" applyBorder="true" applyFont="true" applyProtection="true" borderId="10" fillId="0" fontId="57" numFmtId="164" xfId="0">
      <alignment horizontal="center" indent="0" shrinkToFit="false" textRotation="0" vertical="center" wrapText="true"/>
      <protection hidden="false" locked="false"/>
    </xf>
    <xf applyAlignment="true" applyBorder="true" applyFont="true" applyProtection="true" borderId="9" fillId="11" fontId="57" numFmtId="171" xfId="0">
      <alignment horizontal="center" indent="0" shrinkToFit="false" textRotation="0" vertical="center" wrapText="true"/>
      <protection hidden="false" locked="true"/>
    </xf>
    <xf applyAlignment="true" applyBorder="true" applyFont="true" applyProtection="true" borderId="10" fillId="11" fontId="57" numFmtId="171" xfId="0">
      <alignment horizontal="center" indent="0" shrinkToFit="false" textRotation="0" vertical="center" wrapText="true"/>
      <protection hidden="false" locked="true"/>
    </xf>
    <xf applyAlignment="true" applyBorder="true" applyFont="true" applyProtection="true" borderId="10" fillId="0" fontId="57" numFmtId="176" xfId="0">
      <alignment horizontal="center" indent="0" shrinkToFit="false" textRotation="0" vertical="center" wrapText="true"/>
      <protection hidden="false" locked="false"/>
    </xf>
    <xf applyAlignment="true" applyBorder="true" applyFont="true" applyProtection="true" borderId="10" fillId="11" fontId="57" numFmtId="170" xfId="0">
      <alignment horizontal="center" indent="0" shrinkToFit="false" textRotation="0" vertical="center" wrapText="true"/>
      <protection hidden="false" locked="true"/>
    </xf>
    <xf applyAlignment="true" applyBorder="true" applyFont="true" applyProtection="true" borderId="10" fillId="11" fontId="57" numFmtId="176" xfId="0">
      <alignment horizontal="center" indent="0" shrinkToFit="false" textRotation="0" vertical="center" wrapText="true"/>
      <protection hidden="false" locked="true"/>
    </xf>
    <xf applyAlignment="true" applyBorder="true" applyFont="true" applyProtection="true" borderId="9" fillId="11" fontId="57" numFmtId="176" xfId="0">
      <alignment horizontal="center" indent="0" shrinkToFit="false" textRotation="0" vertical="center" wrapText="true"/>
      <protection hidden="false" locked="true"/>
    </xf>
    <xf applyAlignment="true" applyBorder="true" applyFont="true" applyProtection="true" borderId="10" fillId="0" fontId="57" numFmtId="171" xfId="0">
      <alignment horizontal="center" indent="0" shrinkToFit="false" textRotation="0" vertical="center" wrapText="true"/>
      <protection hidden="false" locked="false"/>
    </xf>
    <xf applyAlignment="true" applyBorder="true" applyFont="true" applyProtection="true" borderId="7" fillId="5" fontId="57" numFmtId="164" xfId="0">
      <alignment horizontal="left" indent="1" shrinkToFit="false" textRotation="0" vertical="center" wrapText="true"/>
      <protection hidden="false" locked="true"/>
    </xf>
    <xf applyAlignment="true" applyBorder="true" applyFont="true" applyProtection="true" borderId="10" fillId="0" fontId="57" numFmtId="170" xfId="19">
      <alignment horizontal="center" indent="0" shrinkToFit="false" textRotation="0" vertical="center" wrapText="true"/>
      <protection hidden="false" locked="false"/>
    </xf>
    <xf applyAlignment="true" applyBorder="true" applyFont="true" applyProtection="true" borderId="10" fillId="5" fontId="59" numFmtId="170" xfId="19">
      <alignment horizontal="center" indent="0" shrinkToFit="false" textRotation="0" vertical="center" wrapText="true"/>
      <protection hidden="false" locked="true"/>
    </xf>
    <xf applyAlignment="true" applyBorder="true" applyFont="true" applyProtection="true" borderId="9" fillId="11" fontId="57" numFmtId="164" xfId="19">
      <alignment horizontal="center" indent="0" shrinkToFit="false" textRotation="0" vertical="center" wrapText="true"/>
      <protection hidden="false" locked="true"/>
    </xf>
    <xf applyAlignment="true" applyBorder="true" applyFont="true" applyProtection="true" borderId="0" fillId="0" fontId="0" numFmtId="170" xfId="19">
      <alignment horizontal="center" indent="0" shrinkToFit="false" textRotation="0" vertical="bottom" wrapText="false"/>
      <protection hidden="false" locked="false"/>
    </xf>
    <xf applyAlignment="true" applyBorder="true" applyFont="true" applyProtection="true" borderId="11" fillId="22" fontId="57" numFmtId="164" xfId="0">
      <alignment horizontal="left" indent="1" shrinkToFit="false" textRotation="0" vertical="center" wrapText="true"/>
      <protection hidden="false" locked="true"/>
    </xf>
    <xf applyAlignment="true" applyBorder="true" applyFont="true" applyProtection="true" borderId="12" fillId="0" fontId="57" numFmtId="170" xfId="15">
      <alignment horizontal="center" indent="0" shrinkToFit="false" textRotation="0" vertical="center" wrapText="true"/>
      <protection hidden="false" locked="false"/>
    </xf>
    <xf applyAlignment="true" applyBorder="true" applyFont="true" applyProtection="true" borderId="12" fillId="5" fontId="59" numFmtId="170" xfId="19">
      <alignment horizontal="center" indent="0" shrinkToFit="false" textRotation="0" vertical="center" wrapText="true"/>
      <protection hidden="false" locked="true"/>
    </xf>
    <xf applyAlignment="true" applyBorder="true" applyFont="true" applyProtection="true" borderId="19" fillId="11" fontId="57" numFmtId="171" xfId="0">
      <alignment horizontal="center" indent="0" shrinkToFit="false" textRotation="0" vertical="center" wrapText="true"/>
      <protection hidden="false" locked="true"/>
    </xf>
    <xf applyAlignment="true" applyBorder="false" applyFont="true" applyProtection="true" borderId="0" fillId="0" fontId="0" numFmtId="164" xfId="0">
      <alignment horizontal="general" indent="0" shrinkToFit="false" textRotation="0" vertical="bottom" wrapText="true"/>
      <protection hidden="false" locked="true"/>
    </xf>
    <xf applyAlignment="true" applyBorder="false" applyFont="true" applyProtection="true" borderId="0" fillId="0" fontId="28" numFmtId="164" xfId="0">
      <alignment horizontal="left" indent="0" shrinkToFit="false" textRotation="0" vertical="bottom" wrapText="true"/>
      <protection hidden="false" locked="true"/>
    </xf>
    <xf applyAlignment="true" applyBorder="false" applyFont="true" applyProtection="true" borderId="0" fillId="0" fontId="44" numFmtId="164" xfId="0">
      <alignment horizontal="left" indent="0" shrinkToFit="false" textRotation="0" vertical="bottom" wrapText="true"/>
      <protection hidden="false" locked="true"/>
    </xf>
    <xf applyAlignment="true" applyBorder="false" applyFont="true" applyProtection="true" borderId="0" fillId="0" fontId="0" numFmtId="164" xfId="0">
      <alignment horizontal="general" indent="0" shrinkToFit="false" textRotation="0" vertical="bottom" wrapText="true"/>
      <protection hidden="false" locked="true"/>
    </xf>
    <xf applyAlignment="true" applyBorder="true" applyFont="true" applyProtection="true" borderId="27" fillId="2" fontId="44" numFmtId="164" xfId="0">
      <alignment horizontal="center" indent="0" shrinkToFit="false" textRotation="0" vertical="center" wrapText="true"/>
      <protection hidden="false" locked="true"/>
    </xf>
    <xf applyAlignment="true" applyBorder="true" applyFont="true" applyProtection="true" borderId="8" fillId="2" fontId="46" numFmtId="164" xfId="0">
      <alignment horizontal="center" indent="0" shrinkToFit="false" textRotation="0" vertical="center" wrapText="true"/>
      <protection hidden="false" locked="true"/>
    </xf>
    <xf applyAlignment="true" applyBorder="true" applyFont="true" applyProtection="true" borderId="7" fillId="15" fontId="0" numFmtId="164" xfId="0">
      <alignment horizontal="left" indent="0" shrinkToFit="false" textRotation="0" vertical="center" wrapText="true"/>
      <protection hidden="false" locked="true"/>
    </xf>
    <xf applyAlignment="true" applyBorder="true" applyFont="true" applyProtection="true" borderId="10" fillId="15" fontId="0" numFmtId="164" xfId="0">
      <alignment horizontal="center" indent="0" shrinkToFit="false" textRotation="0" vertical="bottom" wrapText="true"/>
      <protection hidden="false" locked="true"/>
    </xf>
    <xf applyAlignment="true" applyBorder="true" applyFont="true" applyProtection="true" borderId="9" fillId="15" fontId="0" numFmtId="164" xfId="0">
      <alignment horizontal="center" indent="0" shrinkToFit="false" textRotation="0" vertical="bottom" wrapText="true"/>
      <protection hidden="false" locked="true"/>
    </xf>
    <xf applyAlignment="true" applyBorder="true" applyFont="true" applyProtection="true" borderId="7" fillId="2" fontId="0" numFmtId="164" xfId="0">
      <alignment horizontal="left" indent="2" shrinkToFit="false" textRotation="0" vertical="center" wrapText="true"/>
      <protection hidden="false" locked="true"/>
    </xf>
    <xf applyAlignment="true" applyBorder="true" applyFont="true" applyProtection="true" borderId="10" fillId="0" fontId="0" numFmtId="164" xfId="0">
      <alignment horizontal="center" indent="0" shrinkToFit="false" textRotation="0" vertical="center" wrapText="true"/>
      <protection hidden="false" locked="false"/>
    </xf>
    <xf applyAlignment="true" applyBorder="true" applyFont="true" applyProtection="true" borderId="9" fillId="0" fontId="0" numFmtId="164" xfId="0">
      <alignment horizontal="center" indent="0" shrinkToFit="false" textRotation="0" vertical="center" wrapText="true"/>
      <protection hidden="false" locked="false"/>
    </xf>
    <xf applyAlignment="true" applyBorder="true" applyFont="true" applyProtection="true" borderId="10" fillId="15" fontId="0" numFmtId="164" xfId="0">
      <alignment horizontal="center" indent="0" shrinkToFit="false" textRotation="0" vertical="center" wrapText="true"/>
      <protection hidden="false" locked="true"/>
    </xf>
    <xf applyAlignment="true" applyBorder="true" applyFont="true" applyProtection="true" borderId="9" fillId="15" fontId="0" numFmtId="164" xfId="0">
      <alignment horizontal="center" indent="0" shrinkToFit="false" textRotation="0" vertical="center" wrapText="true"/>
      <protection hidden="false" locked="true"/>
    </xf>
    <xf applyAlignment="true" applyBorder="true" applyFont="true" applyProtection="true" borderId="10" fillId="0" fontId="43" numFmtId="171" xfId="0">
      <alignment horizontal="center" indent="0" shrinkToFit="false" textRotation="0" vertical="center" wrapText="true"/>
      <protection hidden="false" locked="false"/>
    </xf>
    <xf applyAlignment="true" applyBorder="true" applyFont="true" applyProtection="true" borderId="9" fillId="0" fontId="43" numFmtId="171" xfId="0">
      <alignment horizontal="center" indent="0" shrinkToFit="false" textRotation="0" vertical="center" wrapText="true"/>
      <protection hidden="false" locked="false"/>
    </xf>
    <xf applyAlignment="true" applyBorder="true" applyFont="true" applyProtection="true" borderId="10" fillId="2" fontId="0" numFmtId="175" xfId="0">
      <alignment horizontal="center" indent="0" shrinkToFit="false" textRotation="0" vertical="center" wrapText="true"/>
      <protection hidden="false" locked="true"/>
    </xf>
    <xf applyAlignment="true" applyBorder="true" applyFont="true" applyProtection="true" borderId="9" fillId="2" fontId="0" numFmtId="175" xfId="0">
      <alignment horizontal="center" indent="0" shrinkToFit="false" textRotation="0" vertical="center" wrapText="true"/>
      <protection hidden="false" locked="true"/>
    </xf>
    <xf applyAlignment="true" applyBorder="true" applyFont="true" applyProtection="true" borderId="10" fillId="15" fontId="0" numFmtId="175" xfId="0">
      <alignment horizontal="center" indent="0" shrinkToFit="false" textRotation="0" vertical="center" wrapText="true"/>
      <protection hidden="false" locked="true"/>
    </xf>
    <xf applyAlignment="true" applyBorder="true" applyFont="true" applyProtection="true" borderId="9" fillId="15" fontId="0" numFmtId="175" xfId="0">
      <alignment horizontal="center" indent="0" shrinkToFit="false" textRotation="0" vertical="center" wrapText="true"/>
      <protection hidden="false" locked="true"/>
    </xf>
    <xf applyAlignment="true" applyBorder="true" applyFont="true" applyProtection="true" borderId="11" fillId="7" fontId="0" numFmtId="164" xfId="0">
      <alignment horizontal="left" indent="0" shrinkToFit="false" textRotation="0" vertical="center" wrapText="true"/>
      <protection hidden="false" locked="true"/>
    </xf>
    <xf applyAlignment="true" applyBorder="true" applyFont="true" applyProtection="true" borderId="12" fillId="2" fontId="0" numFmtId="164" xfId="0">
      <alignment horizontal="center" indent="0" shrinkToFit="false" textRotation="0" vertical="center" wrapText="true"/>
      <protection hidden="false" locked="true"/>
    </xf>
    <xf applyAlignment="true" applyBorder="true" applyFont="true" applyProtection="true" borderId="19" fillId="2" fontId="0" numFmtId="164" xfId="0">
      <alignment horizontal="center" indent="0" shrinkToFit="false" textRotation="0" vertical="center" wrapText="true"/>
      <protection hidden="false" locked="true"/>
    </xf>
    <xf applyAlignment="true" applyBorder="true" applyFont="true" applyProtection="true" borderId="0" fillId="0" fontId="0" numFmtId="164" xfId="0">
      <alignment horizontal="justify" indent="0" shrinkToFit="false" textRotation="0" vertical="bottom" wrapText="true"/>
      <protection hidden="false" locked="true"/>
    </xf>
    <xf applyAlignment="true" applyBorder="true" applyFont="true" applyProtection="true" borderId="0" fillId="0" fontId="0" numFmtId="164" xfId="0">
      <alignment horizontal="center" indent="0" shrinkToFit="false" textRotation="0" vertical="bottom" wrapText="true"/>
      <protection hidden="false" locked="true"/>
    </xf>
    <xf applyAlignment="true" applyBorder="false" applyFont="true" applyProtection="true" borderId="0" fillId="0" fontId="44" numFmtId="164" xfId="0">
      <alignment horizontal="general" indent="0" shrinkToFit="false" textRotation="0" vertical="bottom" wrapText="false"/>
      <protection hidden="false" locked="true"/>
    </xf>
    <xf applyAlignment="true" applyBorder="true" applyFont="true" applyProtection="true" borderId="13" fillId="0" fontId="44" numFmtId="164" xfId="0">
      <alignment horizontal="center" indent="0" shrinkToFit="false" textRotation="0" vertical="center" wrapText="true"/>
      <protection hidden="false" locked="true"/>
    </xf>
    <xf applyAlignment="true" applyBorder="true" applyFont="true" applyProtection="true" borderId="27" fillId="0" fontId="44" numFmtId="164" xfId="0">
      <alignment horizontal="center" indent="0" shrinkToFit="false" textRotation="0" vertical="center" wrapText="true"/>
      <protection hidden="false" locked="true"/>
    </xf>
    <xf applyAlignment="true" applyBorder="true" applyFont="true" applyProtection="true" borderId="8" fillId="0" fontId="46" numFmtId="164" xfId="0">
      <alignment horizontal="center" indent="0" shrinkToFit="false" textRotation="0" vertical="center" wrapText="true"/>
      <protection hidden="false" locked="true"/>
    </xf>
    <xf applyAlignment="true" applyBorder="true" applyFont="true" applyProtection="true" borderId="7" fillId="15" fontId="40" numFmtId="164" xfId="0">
      <alignment horizontal="left" indent="0" shrinkToFit="false" textRotation="0" vertical="center" wrapText="true"/>
      <protection hidden="false" locked="true"/>
    </xf>
    <xf applyAlignment="true" applyBorder="true" applyFont="true" applyProtection="true" borderId="10" fillId="15" fontId="44" numFmtId="164" xfId="0">
      <alignment horizontal="general" indent="0" shrinkToFit="false" textRotation="0" vertical="bottom" wrapText="true"/>
      <protection hidden="false" locked="true"/>
    </xf>
    <xf applyAlignment="true" applyBorder="true" applyFont="true" applyProtection="true" borderId="9" fillId="15" fontId="44" numFmtId="164" xfId="0">
      <alignment horizontal="center" indent="0" shrinkToFit="false" textRotation="0" vertical="bottom" wrapText="true"/>
      <protection hidden="false" locked="true"/>
    </xf>
    <xf applyAlignment="true" applyBorder="true" applyFont="true" applyProtection="true" borderId="7" fillId="7" fontId="0" numFmtId="164" xfId="0">
      <alignment horizontal="left" indent="2" shrinkToFit="false" textRotation="0" vertical="center" wrapText="true"/>
      <protection hidden="false" locked="true"/>
    </xf>
    <xf applyAlignment="true" applyBorder="true" applyFont="true" applyProtection="true" borderId="10" fillId="2" fontId="31" numFmtId="164" xfId="0">
      <alignment horizontal="general" indent="0" shrinkToFit="false" textRotation="0" vertical="bottom" wrapText="true"/>
      <protection hidden="false" locked="true"/>
    </xf>
    <xf applyAlignment="true" applyBorder="true" applyFont="true" applyProtection="true" borderId="9" fillId="0" fontId="43" numFmtId="164" xfId="0">
      <alignment horizontal="center" indent="0" shrinkToFit="false" textRotation="0" vertical="center" wrapText="true"/>
      <protection hidden="false" locked="false"/>
    </xf>
    <xf applyAlignment="true" applyBorder="true" applyFont="true" applyProtection="true" borderId="9" fillId="15" fontId="44" numFmtId="164" xfId="0">
      <alignment horizontal="center" indent="0" shrinkToFit="false" textRotation="0" vertical="center" wrapText="true"/>
      <protection hidden="false" locked="true"/>
    </xf>
    <xf applyAlignment="true" applyBorder="true" applyFont="true" applyProtection="true" borderId="10" fillId="15" fontId="31" numFmtId="164" xfId="0">
      <alignment horizontal="general" indent="0" shrinkToFit="false" textRotation="0" vertical="bottom" wrapText="true"/>
      <protection hidden="false" locked="true"/>
    </xf>
    <xf applyAlignment="true" applyBorder="true" applyFont="true" applyProtection="true" borderId="9" fillId="15" fontId="43" numFmtId="164" xfId="0">
      <alignment horizontal="center" indent="0" shrinkToFit="false" textRotation="0" vertical="center" wrapText="true"/>
      <protection hidden="false" locked="true"/>
    </xf>
    <xf applyAlignment="true" applyBorder="true" applyFont="true" applyProtection="true" borderId="9" fillId="15" fontId="43" numFmtId="174" xfId="0">
      <alignment horizontal="center" indent="0" shrinkToFit="false" textRotation="0" vertical="center" wrapText="true"/>
      <protection hidden="false" locked="true"/>
    </xf>
    <xf applyAlignment="true" applyBorder="true" applyFont="true" applyProtection="true" borderId="10" fillId="2" fontId="43" numFmtId="164" xfId="0">
      <alignment horizontal="general" indent="0" shrinkToFit="false" textRotation="0" vertical="top" wrapText="true"/>
      <protection hidden="false" locked="true"/>
    </xf>
    <xf applyAlignment="true" applyBorder="true" applyFont="true" applyProtection="true" borderId="11" fillId="2" fontId="0" numFmtId="164" xfId="0">
      <alignment horizontal="left" indent="2" shrinkToFit="false" textRotation="0" vertical="center" wrapText="true"/>
      <protection hidden="false" locked="true"/>
    </xf>
    <xf applyAlignment="false" applyBorder="true" applyFont="true" applyProtection="true" borderId="0" fillId="0" fontId="0" numFmtId="164" xfId="0">
      <protection hidden="false" locked="true"/>
    </xf>
    <xf applyAlignment="true" applyBorder="true" applyFont="true" applyProtection="true" borderId="0" fillId="0" fontId="40" numFmtId="164" xfId="0">
      <alignment horizontal="left" indent="0" shrinkToFit="false" textRotation="0" vertical="bottom" wrapText="false"/>
      <protection hidden="false" locked="true"/>
    </xf>
    <xf applyAlignment="true" applyBorder="true" applyFont="true" applyProtection="true" borderId="13" fillId="0" fontId="40" numFmtId="164" xfId="0">
      <alignment horizontal="center" indent="0" shrinkToFit="false" textRotation="0" vertical="center" wrapText="true"/>
      <protection hidden="false" locked="true"/>
    </xf>
    <xf applyAlignment="true" applyBorder="true" applyFont="true" applyProtection="true" borderId="27" fillId="0" fontId="41" numFmtId="164" xfId="0">
      <alignment horizontal="center" indent="0" shrinkToFit="false" textRotation="0" vertical="center" wrapText="true"/>
      <protection hidden="false" locked="true"/>
    </xf>
    <xf applyAlignment="true" applyBorder="true" applyFont="true" applyProtection="true" borderId="27" fillId="0" fontId="41" numFmtId="169" xfId="0">
      <alignment horizontal="center" indent="0" shrinkToFit="false" textRotation="0" vertical="center" wrapText="true"/>
      <protection hidden="false" locked="true"/>
    </xf>
    <xf applyAlignment="true" applyBorder="true" applyFont="true" applyProtection="true" borderId="8" fillId="0" fontId="41" numFmtId="164" xfId="0">
      <alignment horizontal="center" indent="0" shrinkToFit="false" textRotation="0" vertical="center" wrapText="true"/>
      <protection hidden="false" locked="true"/>
    </xf>
    <xf applyAlignment="true" applyBorder="true" applyFont="true" applyProtection="true" borderId="0" fillId="0" fontId="45" numFmtId="164" xfId="0">
      <alignment horizontal="center" indent="0" shrinkToFit="false" textRotation="0" vertical="center" wrapText="true"/>
      <protection hidden="false" locked="true"/>
    </xf>
    <xf applyAlignment="false" applyBorder="true" applyFont="true" applyProtection="true" borderId="7" fillId="23" fontId="34" numFmtId="164" xfId="0">
      <protection hidden="false" locked="true"/>
    </xf>
    <xf applyAlignment="true" applyBorder="true" applyFont="true" applyProtection="true" borderId="10" fillId="23" fontId="57" numFmtId="169" xfId="0">
      <alignment horizontal="center" indent="0" shrinkToFit="false" textRotation="0" vertical="center" wrapText="true"/>
      <protection hidden="false" locked="true"/>
    </xf>
    <xf applyAlignment="true" applyBorder="true" applyFont="true" applyProtection="true" borderId="10" fillId="23" fontId="0" numFmtId="169" xfId="0">
      <alignment horizontal="center" indent="0" shrinkToFit="false" textRotation="0" vertical="center" wrapText="true"/>
      <protection hidden="false" locked="true"/>
    </xf>
    <xf applyAlignment="true" applyBorder="true" applyFont="true" applyProtection="true" borderId="10" fillId="23" fontId="0" numFmtId="164" xfId="0">
      <alignment horizontal="center" indent="0" shrinkToFit="false" textRotation="0" vertical="center" wrapText="true"/>
      <protection hidden="false" locked="true"/>
    </xf>
    <xf applyAlignment="true" applyBorder="true" applyFont="true" applyProtection="true" borderId="9" fillId="23" fontId="0" numFmtId="169" xfId="0">
      <alignment horizontal="center" indent="0" shrinkToFit="false" textRotation="0" vertical="center" wrapText="true"/>
      <protection hidden="false" locked="true"/>
    </xf>
    <xf applyAlignment="true" applyBorder="true" applyFont="true" applyProtection="true" borderId="0" fillId="0" fontId="0" numFmtId="169" xfId="0">
      <alignment horizontal="center" indent="0" shrinkToFit="false" textRotation="0" vertical="center" wrapText="true"/>
      <protection hidden="false" locked="true"/>
    </xf>
    <xf applyAlignment="true" applyBorder="true" applyFont="true" applyProtection="true" borderId="7" fillId="0" fontId="31" numFmtId="164" xfId="0">
      <alignment horizontal="left" indent="1" shrinkToFit="false" textRotation="0" vertical="center" wrapText="false"/>
      <protection hidden="false" locked="true"/>
    </xf>
    <xf applyAlignment="true" applyBorder="true" applyFont="true" applyProtection="true" borderId="10" fillId="0" fontId="0" numFmtId="169" xfId="0">
      <alignment horizontal="center" indent="0" shrinkToFit="false" textRotation="0" vertical="center" wrapText="true"/>
      <protection hidden="false" locked="false"/>
    </xf>
    <xf applyAlignment="true" applyBorder="true" applyFont="true" applyProtection="true" borderId="10" fillId="0" fontId="0" numFmtId="169" xfId="0">
      <alignment horizontal="center" indent="0" shrinkToFit="false" textRotation="0" vertical="center" wrapText="true"/>
      <protection hidden="false" locked="true"/>
    </xf>
    <xf applyAlignment="true" applyBorder="true" applyFont="true" applyProtection="true" borderId="10" fillId="0" fontId="0" numFmtId="175" xfId="0">
      <alignment horizontal="center" indent="0" shrinkToFit="false" textRotation="0" vertical="center" wrapText="true"/>
      <protection hidden="false" locked="true"/>
    </xf>
    <xf applyAlignment="true" applyBorder="true" applyFont="true" applyProtection="true" borderId="10" fillId="0" fontId="0" numFmtId="164" xfId="0">
      <alignment horizontal="center" indent="0" shrinkToFit="false" textRotation="0" vertical="center" wrapText="true"/>
      <protection hidden="false" locked="true"/>
    </xf>
    <xf applyAlignment="true" applyBorder="true" applyFont="true" applyProtection="true" borderId="9" fillId="0" fontId="57" numFmtId="169" xfId="0">
      <alignment horizontal="center" indent="0" shrinkToFit="false" textRotation="0" vertical="center" wrapText="true"/>
      <protection hidden="false" locked="true"/>
    </xf>
    <xf applyAlignment="true" applyBorder="true" applyFont="true" applyProtection="true" borderId="7" fillId="24" fontId="41" numFmtId="169" xfId="0">
      <alignment horizontal="left" indent="0" shrinkToFit="false" textRotation="0" vertical="center" wrapText="false"/>
      <protection hidden="false" locked="true"/>
    </xf>
    <xf applyAlignment="true" applyBorder="true" applyFont="true" applyProtection="true" borderId="10" fillId="24" fontId="0" numFmtId="169" xfId="0">
      <alignment horizontal="center" indent="0" shrinkToFit="false" textRotation="0" vertical="center" wrapText="true"/>
      <protection hidden="false" locked="false"/>
    </xf>
    <xf applyAlignment="true" applyBorder="true" applyFont="true" applyProtection="true" borderId="10" fillId="24" fontId="0" numFmtId="175" xfId="0">
      <alignment horizontal="center" indent="0" shrinkToFit="false" textRotation="0" vertical="center" wrapText="true"/>
      <protection hidden="false" locked="true"/>
    </xf>
    <xf applyAlignment="true" applyBorder="true" applyFont="true" applyProtection="true" borderId="10" fillId="24" fontId="0" numFmtId="164" xfId="0">
      <alignment horizontal="center" indent="0" shrinkToFit="false" textRotation="0" vertical="center" wrapText="true"/>
      <protection hidden="false" locked="true"/>
    </xf>
    <xf applyAlignment="true" applyBorder="true" applyFont="true" applyProtection="true" borderId="9" fillId="24" fontId="35" numFmtId="169" xfId="0">
      <alignment horizontal="center" indent="0" shrinkToFit="false" textRotation="0" vertical="center" wrapText="true"/>
      <protection hidden="false" locked="true"/>
    </xf>
    <xf applyAlignment="true" applyBorder="true" applyFont="true" applyProtection="true" borderId="10" fillId="24" fontId="0" numFmtId="169" xfId="0">
      <alignment horizontal="center" indent="0" shrinkToFit="false" textRotation="0" vertical="center" wrapText="true"/>
      <protection hidden="false" locked="true"/>
    </xf>
    <xf applyAlignment="true" applyBorder="true" applyFont="true" applyProtection="true" borderId="0" fillId="0" fontId="57" numFmtId="169" xfId="0">
      <alignment horizontal="center" indent="0" shrinkToFit="false" textRotation="0" vertical="center" wrapText="true"/>
      <protection hidden="false" locked="true"/>
    </xf>
    <xf applyAlignment="true" applyBorder="true" applyFont="true" applyProtection="true" borderId="10" fillId="0" fontId="52" numFmtId="173" xfId="0">
      <alignment horizontal="center" indent="0" shrinkToFit="false" textRotation="0" vertical="center" wrapText="true"/>
      <protection hidden="false" locked="false"/>
    </xf>
    <xf applyAlignment="true" applyBorder="true" applyFont="true" applyProtection="true" borderId="10" fillId="15" fontId="0" numFmtId="169" xfId="0">
      <alignment horizontal="center" indent="0" shrinkToFit="false" textRotation="0" vertical="center" wrapText="true"/>
      <protection hidden="false" locked="true"/>
    </xf>
    <xf applyAlignment="true" applyBorder="true" applyFont="true" applyProtection="true" borderId="9" fillId="15" fontId="0" numFmtId="169" xfId="0">
      <alignment horizontal="center" indent="0" shrinkToFit="false" textRotation="0" vertical="center" wrapText="true"/>
      <protection hidden="false" locked="true"/>
    </xf>
    <xf applyAlignment="true" applyBorder="true" applyFont="true" applyProtection="true" borderId="10" fillId="24" fontId="0" numFmtId="172" xfId="0">
      <alignment horizontal="center" indent="0" shrinkToFit="false" textRotation="0" vertical="center" wrapText="true"/>
      <protection hidden="false" locked="true"/>
    </xf>
    <xf applyAlignment="true" applyBorder="true" applyFont="true" applyProtection="true" borderId="7" fillId="0" fontId="0" numFmtId="164" xfId="0">
      <alignment horizontal="left" indent="1" shrinkToFit="false" textRotation="0" vertical="center" wrapText="false"/>
      <protection hidden="false" locked="true"/>
    </xf>
    <xf applyAlignment="true" applyBorder="true" applyFont="true" applyProtection="true" borderId="10" fillId="0" fontId="59" numFmtId="169" xfId="0">
      <alignment horizontal="center" indent="0" shrinkToFit="false" textRotation="0" vertical="center" wrapText="true"/>
      <protection hidden="false" locked="true"/>
    </xf>
    <xf applyAlignment="true" applyBorder="true" applyFont="true" applyProtection="true" borderId="10" fillId="0" fontId="0" numFmtId="172" xfId="0">
      <alignment horizontal="center" indent="0" shrinkToFit="false" textRotation="0" vertical="center" wrapText="true"/>
      <protection hidden="false" locked="true"/>
    </xf>
    <xf applyAlignment="true" applyBorder="true" applyFont="true" applyProtection="true" borderId="10" fillId="0" fontId="0" numFmtId="164" xfId="0">
      <alignment horizontal="center" indent="0" shrinkToFit="false" textRotation="0" vertical="bottom" wrapText="false"/>
      <protection hidden="false" locked="true"/>
    </xf>
    <xf applyAlignment="true" applyBorder="true" applyFont="true" applyProtection="true" borderId="10" fillId="0" fontId="0" numFmtId="172" xfId="0">
      <alignment horizontal="center" indent="0" shrinkToFit="false" textRotation="0" vertical="bottom" wrapText="false"/>
      <protection hidden="false" locked="true"/>
    </xf>
    <xf applyAlignment="true" applyBorder="true" applyFont="true" applyProtection="true" borderId="11" fillId="24" fontId="41" numFmtId="169" xfId="0">
      <alignment horizontal="left" indent="0" shrinkToFit="false" textRotation="0" vertical="center" wrapText="false"/>
      <protection hidden="false" locked="true"/>
    </xf>
    <xf applyAlignment="true" applyBorder="true" applyFont="true" applyProtection="true" borderId="12" fillId="24" fontId="0" numFmtId="169" xfId="0">
      <alignment horizontal="center" indent="0" shrinkToFit="false" textRotation="0" vertical="center" wrapText="true"/>
      <protection hidden="false" locked="false"/>
    </xf>
    <xf applyAlignment="true" applyBorder="true" applyFont="true" applyProtection="true" borderId="12" fillId="24" fontId="0" numFmtId="175" xfId="0">
      <alignment horizontal="center" indent="0" shrinkToFit="false" textRotation="0" vertical="center" wrapText="true"/>
      <protection hidden="false" locked="true"/>
    </xf>
    <xf applyAlignment="true" applyBorder="true" applyFont="true" applyProtection="true" borderId="12" fillId="24" fontId="0" numFmtId="172" xfId="0">
      <alignment horizontal="center" indent="0" shrinkToFit="false" textRotation="0" vertical="center" wrapText="true"/>
      <protection hidden="false" locked="true"/>
    </xf>
    <xf applyAlignment="true" applyBorder="true" applyFont="true" applyProtection="true" borderId="19" fillId="24" fontId="35" numFmtId="169" xfId="0">
      <alignment horizontal="center" indent="0" shrinkToFit="false" textRotation="0" vertical="center" wrapText="true"/>
      <protection hidden="false" locked="true"/>
    </xf>
    <xf applyAlignment="true" applyBorder="false" applyFont="true" applyProtection="true" borderId="0" fillId="0" fontId="0" numFmtId="164" xfId="0">
      <alignment horizontal="center" indent="0" shrinkToFit="false" textRotation="0" vertical="center" wrapText="false"/>
      <protection hidden="false" locked="true"/>
    </xf>
    <xf applyAlignment="true" applyBorder="true" applyFont="true" applyProtection="true" borderId="0" fillId="0" fontId="40" numFmtId="164" xfId="0">
      <alignment horizontal="left" indent="0" shrinkToFit="false" textRotation="0" vertical="center" wrapText="false"/>
      <protection hidden="false" locked="true"/>
    </xf>
    <xf applyAlignment="true" applyBorder="true" applyFont="true" applyProtection="true" borderId="5" fillId="2" fontId="0" numFmtId="164" xfId="0">
      <alignment horizontal="right" indent="0" shrinkToFit="false" textRotation="0" vertical="center" wrapText="false"/>
      <protection hidden="false" locked="true"/>
    </xf>
    <xf applyAlignment="true" applyBorder="true" applyFont="true" applyProtection="true" borderId="6" fillId="0" fontId="0" numFmtId="164" xfId="0">
      <alignment horizontal="center" indent="0" shrinkToFit="false" textRotation="0" vertical="center" wrapText="false"/>
      <protection hidden="false" locked="true"/>
    </xf>
    <xf applyAlignment="true" applyBorder="true" applyFont="true" applyProtection="true" borderId="27" fillId="0" fontId="43" numFmtId="164" xfId="0">
      <alignment horizontal="center" indent="0" shrinkToFit="false" textRotation="0" vertical="center" wrapText="true"/>
      <protection hidden="false" locked="true"/>
    </xf>
    <xf applyAlignment="true" applyBorder="true" applyFont="true" applyProtection="true" borderId="8" fillId="0" fontId="43" numFmtId="164" xfId="0">
      <alignment horizontal="center" indent="0" shrinkToFit="false" textRotation="0" vertical="center" wrapText="true"/>
      <protection hidden="false" locked="true"/>
    </xf>
    <xf applyAlignment="true" applyBorder="true" applyFont="true" applyProtection="true" borderId="7" fillId="7" fontId="32" numFmtId="164" xfId="0">
      <alignment horizontal="left" indent="0" shrinkToFit="false" textRotation="0" vertical="center" wrapText="true"/>
      <protection hidden="false" locked="true"/>
    </xf>
    <xf applyAlignment="true" applyBorder="true" applyFont="true" applyProtection="true" borderId="10" fillId="2" fontId="32" numFmtId="164" xfId="0">
      <alignment horizontal="left" indent="0" shrinkToFit="false" textRotation="0" vertical="center" wrapText="true"/>
      <protection hidden="false" locked="true"/>
    </xf>
    <xf applyAlignment="true" applyBorder="true" applyFont="true" applyProtection="true" borderId="10" fillId="19" fontId="32" numFmtId="164" xfId="0">
      <alignment horizontal="center" indent="0" shrinkToFit="false" textRotation="0" vertical="center" wrapText="true"/>
      <protection hidden="false" locked="true"/>
    </xf>
    <xf applyAlignment="true" applyBorder="true" applyFont="true" applyProtection="true" borderId="10" fillId="15" fontId="32" numFmtId="164" xfId="0">
      <alignment horizontal="center" indent="0" shrinkToFit="false" textRotation="0" vertical="center" wrapText="true"/>
      <protection hidden="false" locked="true"/>
    </xf>
    <xf applyAlignment="true" applyBorder="true" applyFont="true" applyProtection="true" borderId="10" fillId="2" fontId="32" numFmtId="164" xfId="0">
      <alignment horizontal="center" indent="0" shrinkToFit="false" textRotation="0" vertical="center" wrapText="true"/>
      <protection hidden="false" locked="true"/>
    </xf>
    <xf applyAlignment="true" applyBorder="true" applyFont="true" applyProtection="true" borderId="9" fillId="2" fontId="32" numFmtId="164" xfId="0">
      <alignment horizontal="center" indent="0" shrinkToFit="false" textRotation="0" vertical="center" wrapText="true"/>
      <protection hidden="false" locked="true"/>
    </xf>
    <xf applyAlignment="true" applyBorder="true" applyFont="true" applyProtection="true" borderId="7" fillId="2" fontId="32" numFmtId="164" xfId="0">
      <alignment horizontal="left" indent="0" shrinkToFit="false" textRotation="0" vertical="center" wrapText="true"/>
      <protection hidden="false" locked="true"/>
    </xf>
    <xf applyAlignment="true" applyBorder="true" applyFont="true" applyProtection="true" borderId="10" fillId="0" fontId="33" numFmtId="164" xfId="0">
      <alignment horizontal="center" indent="0" shrinkToFit="false" textRotation="0" vertical="center" wrapText="true"/>
      <protection hidden="false" locked="false"/>
    </xf>
    <xf applyAlignment="true" applyBorder="true" applyFont="true" applyProtection="true" borderId="10" fillId="2" fontId="32" numFmtId="169" xfId="0">
      <alignment horizontal="center" indent="0" shrinkToFit="false" textRotation="0" vertical="center" wrapText="true"/>
      <protection hidden="false" locked="true"/>
    </xf>
    <xf applyAlignment="true" applyBorder="true" applyFont="true" applyProtection="true" borderId="10" fillId="19" fontId="32" numFmtId="169" xfId="0">
      <alignment horizontal="center" indent="0" shrinkToFit="false" textRotation="0" vertical="center" wrapText="false"/>
      <protection hidden="false" locked="false"/>
    </xf>
    <xf applyAlignment="true" applyBorder="true" applyFont="true" applyProtection="true" borderId="10" fillId="15" fontId="32" numFmtId="170" xfId="0">
      <alignment horizontal="center" indent="0" shrinkToFit="false" textRotation="0" vertical="center" wrapText="true"/>
      <protection hidden="false" locked="true"/>
    </xf>
    <xf applyAlignment="true" applyBorder="true" applyFont="true" applyProtection="true" borderId="10" fillId="7" fontId="32" numFmtId="169" xfId="0">
      <alignment horizontal="center" indent="0" shrinkToFit="false" textRotation="0" vertical="center" wrapText="true"/>
      <protection hidden="false" locked="true"/>
    </xf>
    <xf applyAlignment="true" applyBorder="true" applyFont="true" applyProtection="true" borderId="9" fillId="7" fontId="32" numFmtId="171" xfId="0">
      <alignment horizontal="center" indent="0" shrinkToFit="false" textRotation="0" vertical="center" wrapText="true"/>
      <protection hidden="false" locked="true"/>
    </xf>
    <xf applyAlignment="true" applyBorder="true" applyFont="true" applyProtection="true" borderId="10" fillId="2" fontId="32" numFmtId="174" xfId="0">
      <alignment horizontal="center" indent="0" shrinkToFit="false" textRotation="0" vertical="center" wrapText="true"/>
      <protection hidden="false" locked="true"/>
    </xf>
    <xf applyAlignment="true" applyBorder="true" applyFont="true" applyProtection="true" borderId="9" fillId="2" fontId="32" numFmtId="171" xfId="0">
      <alignment horizontal="center" indent="0" shrinkToFit="false" textRotation="0" vertical="center" wrapText="true"/>
      <protection hidden="false" locked="true"/>
    </xf>
    <xf applyAlignment="true" applyBorder="true" applyFont="true" applyProtection="true" borderId="10" fillId="2" fontId="32" numFmtId="171" xfId="0">
      <alignment horizontal="center" indent="0" shrinkToFit="false" textRotation="0" vertical="center" wrapText="true"/>
      <protection hidden="false" locked="true"/>
    </xf>
    <xf applyAlignment="true" applyBorder="true" applyFont="true" applyProtection="true" borderId="10" fillId="2" fontId="32" numFmtId="165" xfId="0">
      <alignment horizontal="center" indent="0" shrinkToFit="false" textRotation="0" vertical="center" wrapText="true"/>
      <protection hidden="false" locked="true"/>
    </xf>
    <xf applyAlignment="true" applyBorder="true" applyFont="true" applyProtection="true" borderId="10" fillId="2" fontId="32" numFmtId="175" xfId="0">
      <alignment horizontal="center" indent="0" shrinkToFit="false" textRotation="0" vertical="center" wrapText="true"/>
      <protection hidden="false" locked="true"/>
    </xf>
    <xf applyAlignment="true" applyBorder="true" applyFont="true" applyProtection="true" borderId="10" fillId="19" fontId="32" numFmtId="169" xfId="0">
      <alignment horizontal="center" indent="0" shrinkToFit="false" textRotation="0" vertical="center" wrapText="true"/>
      <protection hidden="false" locked="true"/>
    </xf>
    <xf applyAlignment="true" applyBorder="true" applyFont="true" applyProtection="true" borderId="10" fillId="6" fontId="32" numFmtId="173" xfId="0">
      <alignment horizontal="center" indent="0" shrinkToFit="false" textRotation="0" vertical="center" wrapText="true"/>
      <protection hidden="false" locked="false"/>
    </xf>
    <xf applyAlignment="true" applyBorder="true" applyFont="true" applyProtection="true" borderId="10" fillId="2" fontId="33" numFmtId="169" xfId="0">
      <alignment horizontal="center" indent="0" shrinkToFit="false" textRotation="0" vertical="center" wrapText="true"/>
      <protection hidden="false" locked="true"/>
    </xf>
    <xf applyAlignment="true" applyBorder="true" applyFont="true" applyProtection="true" borderId="10" fillId="0" fontId="32" numFmtId="169" xfId="0">
      <alignment horizontal="center" indent="0" shrinkToFit="false" textRotation="0" vertical="center" wrapText="true"/>
      <protection hidden="false" locked="false"/>
    </xf>
    <xf applyAlignment="true" applyBorder="true" applyFont="true" applyProtection="true" borderId="7" fillId="15" fontId="32" numFmtId="164" xfId="0">
      <alignment horizontal="left" indent="0" shrinkToFit="false" textRotation="0" vertical="center" wrapText="true"/>
      <protection hidden="false" locked="true"/>
    </xf>
    <xf applyAlignment="true" applyBorder="true" applyFont="true" applyProtection="true" borderId="10" fillId="15" fontId="32" numFmtId="164" xfId="0">
      <alignment horizontal="left" indent="0" shrinkToFit="false" textRotation="0" vertical="center" wrapText="true"/>
      <protection hidden="false" locked="true"/>
    </xf>
    <xf applyAlignment="true" applyBorder="true" applyFont="true" applyProtection="true" borderId="10" fillId="7" fontId="32" numFmtId="164" xfId="0">
      <alignment horizontal="center" indent="0" shrinkToFit="false" textRotation="0" vertical="center" wrapText="true"/>
      <protection hidden="false" locked="true"/>
    </xf>
    <xf applyAlignment="true" applyBorder="true" applyFont="true" applyProtection="true" borderId="12" fillId="15" fontId="32" numFmtId="169" xfId="0">
      <alignment horizontal="center" indent="0" shrinkToFit="false" textRotation="0" vertical="center" wrapText="true"/>
      <protection hidden="false" locked="true"/>
    </xf>
    <xf applyAlignment="true" applyBorder="true" applyFont="true" applyProtection="true" borderId="19" fillId="15" fontId="32" numFmtId="171" xfId="0">
      <alignment horizontal="center" indent="0" shrinkToFit="false" textRotation="0" vertical="center" wrapText="true"/>
      <protection hidden="false" locked="true"/>
    </xf>
    <xf applyAlignment="true" applyBorder="true" applyFont="true" applyProtection="true" borderId="10" fillId="15" fontId="33" numFmtId="174" xfId="0">
      <alignment horizontal="center" indent="0" shrinkToFit="false" textRotation="0" vertical="center" wrapText="true"/>
      <protection hidden="false" locked="true"/>
    </xf>
    <xf applyAlignment="true" applyBorder="true" applyFont="true" applyProtection="true" borderId="9" fillId="7" fontId="32" numFmtId="164" xfId="0">
      <alignment horizontal="center" indent="0" shrinkToFit="false" textRotation="0" vertical="center" wrapText="true"/>
      <protection hidden="false" locked="true"/>
    </xf>
    <xf applyAlignment="true" applyBorder="true" applyFont="true" applyProtection="true" borderId="0" fillId="0" fontId="32" numFmtId="169" xfId="0">
      <alignment horizontal="center" indent="0" shrinkToFit="false" textRotation="0" vertical="center" wrapText="true"/>
      <protection hidden="false" locked="true"/>
    </xf>
    <xf applyAlignment="true" applyBorder="true" applyFont="true" applyProtection="true" borderId="0" fillId="0" fontId="32" numFmtId="171" xfId="0">
      <alignment horizontal="center" indent="0" shrinkToFit="false" textRotation="0" vertical="center" wrapText="true"/>
      <protection hidden="false" locked="true"/>
    </xf>
    <xf applyAlignment="true" applyBorder="true" applyFont="true" applyProtection="true" borderId="10" fillId="15" fontId="32" numFmtId="171" xfId="0">
      <alignment horizontal="center" indent="0" shrinkToFit="false" textRotation="0" vertical="center" wrapText="true"/>
      <protection hidden="false" locked="true"/>
    </xf>
    <xf applyAlignment="true" applyBorder="true" applyFont="true" applyProtection="true" borderId="0" fillId="0" fontId="32" numFmtId="164" xfId="0">
      <alignment horizontal="center" indent="0" shrinkToFit="false" textRotation="0" vertical="center" wrapText="true"/>
      <protection hidden="false" locked="true"/>
    </xf>
    <xf applyAlignment="true" applyBorder="true" applyFont="true" applyProtection="true" borderId="10" fillId="15" fontId="32" numFmtId="175" xfId="0">
      <alignment horizontal="center" indent="0" shrinkToFit="false" textRotation="0" vertical="center" wrapText="true"/>
      <protection hidden="false" locked="true"/>
    </xf>
    <xf applyAlignment="true" applyBorder="true" applyFont="true" applyProtection="true" borderId="11" fillId="15" fontId="32" numFmtId="164" xfId="0">
      <alignment horizontal="left" indent="0" shrinkToFit="false" textRotation="0" vertical="center" wrapText="true"/>
      <protection hidden="false" locked="true"/>
    </xf>
    <xf applyAlignment="true" applyBorder="true" applyFont="true" applyProtection="true" borderId="12" fillId="15" fontId="32" numFmtId="164" xfId="0">
      <alignment horizontal="left" indent="0" shrinkToFit="false" textRotation="0" vertical="center" wrapText="true"/>
      <protection hidden="false" locked="true"/>
    </xf>
    <xf applyAlignment="true" applyBorder="true" applyFont="true" applyProtection="true" borderId="12" fillId="15" fontId="33" numFmtId="169" xfId="0">
      <alignment horizontal="center" indent="0" shrinkToFit="false" textRotation="0" vertical="center" wrapText="true"/>
      <protection hidden="false" locked="true"/>
    </xf>
    <xf applyAlignment="true" applyBorder="true" applyFont="true" applyProtection="true" borderId="12" fillId="2" fontId="32" numFmtId="172" xfId="0">
      <alignment horizontal="center" indent="0" shrinkToFit="false" textRotation="0" vertical="center" wrapText="false"/>
      <protection hidden="false" locked="true"/>
    </xf>
    <xf applyAlignment="true" applyBorder="true" applyFont="true" applyProtection="true" borderId="19" fillId="2" fontId="33" numFmtId="169" xfId="0">
      <alignment horizontal="center" indent="0" shrinkToFit="false" textRotation="0" vertical="center" wrapText="true"/>
      <protection hidden="false" locked="true"/>
    </xf>
    <xf applyAlignment="true" applyBorder="false" applyFont="true" applyProtection="true" borderId="0" fillId="0" fontId="45" numFmtId="164" xfId="0">
      <alignment horizontal="left" indent="0" shrinkToFit="false" textRotation="0" vertical="center" wrapText="false"/>
      <protection hidden="false" locked="true"/>
    </xf>
    <xf applyAlignment="true" applyBorder="false" applyFont="true" applyProtection="true" borderId="0" fillId="0" fontId="32" numFmtId="164" xfId="0">
      <alignment horizontal="general" indent="0" shrinkToFit="false" textRotation="0" vertical="center" wrapText="false"/>
      <protection hidden="false" locked="true"/>
    </xf>
    <xf applyAlignment="true" applyBorder="false" applyFont="true" applyProtection="true" borderId="0" fillId="0" fontId="32" numFmtId="164" xfId="0">
      <alignment horizontal="center" indent="0" shrinkToFit="false" textRotation="0" vertical="center" wrapText="false"/>
      <protection hidden="false" locked="true"/>
    </xf>
    <xf applyAlignment="true" applyBorder="true" applyFont="true" applyProtection="true" borderId="0" fillId="0" fontId="48" numFmtId="164" xfId="0">
      <alignment horizontal="left" indent="0" shrinkToFit="false" textRotation="0" vertical="center" wrapText="false"/>
      <protection hidden="false" locked="true"/>
    </xf>
    <xf applyAlignment="true" applyBorder="true" applyFont="true" applyProtection="true" borderId="0" fillId="0" fontId="48" numFmtId="164" xfId="0">
      <alignment horizontal="center" indent="0" shrinkToFit="false" textRotation="0" vertical="center" wrapText="false"/>
      <protection hidden="false" locked="true"/>
    </xf>
    <xf applyAlignment="true" applyBorder="true" applyFont="true" applyProtection="true" borderId="13" fillId="2" fontId="46" numFmtId="164" xfId="0">
      <alignment horizontal="center" indent="0" shrinkToFit="false" textRotation="0" vertical="center" wrapText="true"/>
      <protection hidden="false" locked="true"/>
    </xf>
    <xf applyAlignment="true" applyBorder="true" applyFont="true" applyProtection="true" borderId="27" fillId="2" fontId="46" numFmtId="164" xfId="0">
      <alignment horizontal="center" indent="0" shrinkToFit="false" textRotation="0" vertical="center" wrapText="true"/>
      <protection hidden="false" locked="true"/>
    </xf>
    <xf applyAlignment="true" applyBorder="true" applyFont="true" applyProtection="true" borderId="27" fillId="7" fontId="46" numFmtId="164" xfId="0">
      <alignment horizontal="center" indent="0" shrinkToFit="false" textRotation="0" vertical="center" wrapText="true"/>
      <protection hidden="false" locked="true"/>
    </xf>
    <xf applyAlignment="true" applyBorder="true" applyFont="true" applyProtection="true" borderId="8" fillId="7" fontId="46" numFmtId="164" xfId="0">
      <alignment horizontal="center" indent="0" shrinkToFit="false" textRotation="0" vertical="center" wrapText="true"/>
      <protection hidden="false" locked="true"/>
    </xf>
    <xf applyAlignment="true" applyBorder="true" applyFont="true" applyProtection="true" borderId="10" fillId="2" fontId="46" numFmtId="164" xfId="0">
      <alignment horizontal="center" indent="0" shrinkToFit="false" textRotation="0" vertical="center" wrapText="true"/>
      <protection hidden="false" locked="true"/>
    </xf>
    <xf applyAlignment="true" applyBorder="true" applyFont="true" applyProtection="true" borderId="9" fillId="2" fontId="46" numFmtId="164" xfId="0">
      <alignment horizontal="center" indent="0" shrinkToFit="false" textRotation="0" vertical="center" wrapText="true"/>
      <protection hidden="false" locked="true"/>
    </xf>
    <xf applyAlignment="true" applyBorder="true" applyFont="true" applyProtection="true" borderId="7" fillId="10" fontId="41" numFmtId="164" xfId="0">
      <alignment horizontal="general" indent="0" shrinkToFit="false" textRotation="0" vertical="center" wrapText="false"/>
      <protection hidden="false" locked="true"/>
    </xf>
    <xf applyAlignment="true" applyBorder="true" applyFont="true" applyProtection="true" borderId="10" fillId="10" fontId="32" numFmtId="164" xfId="0">
      <alignment horizontal="center" indent="0" shrinkToFit="false" textRotation="0" vertical="center" wrapText="false"/>
      <protection hidden="false" locked="true"/>
    </xf>
    <xf applyAlignment="true" applyBorder="true" applyFont="true" applyProtection="true" borderId="9" fillId="10" fontId="32" numFmtId="164" xfId="0">
      <alignment horizontal="center" indent="0" shrinkToFit="false" textRotation="0" vertical="center" wrapText="false"/>
      <protection hidden="false" locked="true"/>
    </xf>
    <xf applyAlignment="true" applyBorder="false" applyFont="true" applyProtection="true" borderId="0" fillId="0" fontId="45" numFmtId="164" xfId="0">
      <alignment horizontal="right" indent="0" shrinkToFit="false" textRotation="0" vertical="center" wrapText="false"/>
      <protection hidden="false" locked="true"/>
    </xf>
    <xf applyAlignment="true" applyBorder="true" applyFont="true" applyProtection="true" borderId="7" fillId="7" fontId="41" numFmtId="164" xfId="0">
      <alignment horizontal="general" indent="0" shrinkToFit="false" textRotation="0" vertical="center" wrapText="false"/>
      <protection hidden="false" locked="true"/>
    </xf>
    <xf applyAlignment="true" applyBorder="true" applyFont="true" applyProtection="true" borderId="9" fillId="7" fontId="32" numFmtId="164" xfId="0">
      <alignment horizontal="center" indent="0" shrinkToFit="false" textRotation="0" vertical="center" wrapText="false"/>
      <protection hidden="false" locked="true"/>
    </xf>
    <xf applyAlignment="true" applyBorder="true" applyFont="true" applyProtection="true" borderId="7" fillId="0" fontId="32" numFmtId="164" xfId="0">
      <alignment horizontal="left" indent="1" shrinkToFit="false" textRotation="0" vertical="center" wrapText="false"/>
      <protection hidden="false" locked="true"/>
    </xf>
    <xf applyAlignment="true" applyBorder="true" applyFont="true" applyProtection="true" borderId="10" fillId="0" fontId="33" numFmtId="169" xfId="0">
      <alignment horizontal="center" indent="0" shrinkToFit="false" textRotation="0" vertical="center" wrapText="true"/>
      <protection hidden="false" locked="true"/>
    </xf>
    <xf applyAlignment="true" applyBorder="true" applyFont="true" applyProtection="true" borderId="10" fillId="0" fontId="33" numFmtId="175" xfId="0">
      <alignment horizontal="center" indent="0" shrinkToFit="false" textRotation="0" vertical="center" wrapText="true"/>
      <protection hidden="false" locked="true"/>
    </xf>
    <xf applyAlignment="true" applyBorder="true" applyFont="true" applyProtection="true" borderId="10" fillId="0" fontId="33" numFmtId="174" xfId="0">
      <alignment horizontal="center" indent="0" shrinkToFit="false" textRotation="0" vertical="center" wrapText="true"/>
      <protection hidden="false" locked="true"/>
    </xf>
    <xf applyAlignment="true" applyBorder="true" applyFont="true" applyProtection="true" borderId="9" fillId="0" fontId="33" numFmtId="169" xfId="0">
      <alignment horizontal="center" indent="0" shrinkToFit="false" textRotation="0" vertical="center" wrapText="true"/>
      <protection hidden="false" locked="true"/>
    </xf>
    <xf applyAlignment="true" applyBorder="true" applyFont="true" applyProtection="true" borderId="10" fillId="0" fontId="32" numFmtId="164" xfId="0">
      <alignment horizontal="center" indent="0" shrinkToFit="false" textRotation="0" vertical="center" wrapText="false"/>
      <protection hidden="false" locked="true"/>
    </xf>
    <xf applyAlignment="true" applyBorder="true" applyFont="true" applyProtection="true" borderId="10" fillId="0" fontId="32" numFmtId="169" xfId="0">
      <alignment horizontal="center" indent="0" shrinkToFit="false" textRotation="0" vertical="center" wrapText="false"/>
      <protection hidden="false" locked="true"/>
    </xf>
    <xf applyAlignment="true" applyBorder="true" applyFont="true" applyProtection="true" borderId="10" fillId="0" fontId="32" numFmtId="177" xfId="0">
      <alignment horizontal="center" indent="0" shrinkToFit="false" textRotation="0" vertical="center" wrapText="false"/>
      <protection hidden="false" locked="true"/>
    </xf>
    <xf applyAlignment="true" applyBorder="true" applyFont="true" applyProtection="true" borderId="10" fillId="0" fontId="32" numFmtId="172" xfId="0">
      <alignment horizontal="center" indent="0" shrinkToFit="false" textRotation="0" vertical="center" wrapText="false"/>
      <protection hidden="false" locked="true"/>
    </xf>
    <xf applyAlignment="true" applyBorder="true" applyFont="true" applyProtection="true" borderId="10" fillId="0" fontId="32" numFmtId="173" xfId="0">
      <alignment horizontal="center" indent="0" shrinkToFit="false" textRotation="0" vertical="center" wrapText="false"/>
      <protection hidden="false" locked="true"/>
    </xf>
    <xf applyAlignment="true" applyBorder="true" applyFont="true" applyProtection="true" borderId="9" fillId="0" fontId="32" numFmtId="173" xfId="0">
      <alignment horizontal="center" indent="0" shrinkToFit="false" textRotation="0" vertical="center" wrapText="false"/>
      <protection hidden="false" locked="true"/>
    </xf>
    <xf applyAlignment="true" applyBorder="false" applyFont="true" applyProtection="true" borderId="0" fillId="0" fontId="32" numFmtId="173" xfId="0">
      <alignment horizontal="general" indent="0" shrinkToFit="false" textRotation="0" vertical="center" wrapText="false"/>
      <protection hidden="false" locked="true"/>
    </xf>
    <xf applyAlignment="true" applyBorder="true" applyFont="true" applyProtection="true" borderId="7" fillId="8" fontId="32" numFmtId="164" xfId="0">
      <alignment horizontal="general" indent="0" shrinkToFit="false" textRotation="0" vertical="center" wrapText="false"/>
      <protection hidden="false" locked="true"/>
    </xf>
    <xf applyAlignment="true" applyBorder="true" applyFont="true" applyProtection="true" borderId="10" fillId="8" fontId="32" numFmtId="164" xfId="0">
      <alignment horizontal="center" indent="0" shrinkToFit="false" textRotation="0" vertical="center" wrapText="false"/>
      <protection hidden="false" locked="true"/>
    </xf>
    <xf applyAlignment="true" applyBorder="true" applyFont="true" applyProtection="true" borderId="10" fillId="8" fontId="32" numFmtId="164" xfId="0">
      <alignment horizontal="general" indent="0" shrinkToFit="false" textRotation="0" vertical="center" wrapText="false"/>
      <protection hidden="false" locked="true"/>
    </xf>
    <xf applyAlignment="true" applyBorder="true" applyFont="true" applyProtection="true" borderId="9" fillId="8" fontId="32" numFmtId="164" xfId="0">
      <alignment horizontal="general" indent="0" shrinkToFit="false" textRotation="0" vertical="center" wrapText="false"/>
      <protection hidden="false" locked="true"/>
    </xf>
    <xf applyAlignment="true" applyBorder="true" applyFont="true" applyProtection="true" borderId="10" fillId="0" fontId="32" numFmtId="164" xfId="0">
      <alignment horizontal="center" indent="0" shrinkToFit="false" textRotation="0" vertical="center" wrapText="false"/>
      <protection hidden="false" locked="true"/>
    </xf>
    <xf applyAlignment="true" applyBorder="true" applyFont="true" applyProtection="true" borderId="10" fillId="0" fontId="32" numFmtId="169" xfId="0">
      <alignment horizontal="center" indent="0" shrinkToFit="false" textRotation="0" vertical="center" wrapText="true"/>
      <protection hidden="false" locked="true"/>
    </xf>
    <xf applyAlignment="true" applyBorder="true" applyFont="true" applyProtection="true" borderId="12" fillId="0" fontId="32" numFmtId="164" xfId="0">
      <alignment horizontal="center" indent="0" shrinkToFit="false" textRotation="0" vertical="center" wrapText="false"/>
      <protection hidden="false" locked="true"/>
    </xf>
    <xf applyAlignment="true" applyBorder="true" applyFont="true" applyProtection="true" borderId="12" fillId="0" fontId="32" numFmtId="169" xfId="0">
      <alignment horizontal="center" indent="0" shrinkToFit="false" textRotation="0" vertical="center" wrapText="false"/>
      <protection hidden="false" locked="true"/>
    </xf>
    <xf applyAlignment="true" applyBorder="true" applyFont="true" applyProtection="true" borderId="12" fillId="0" fontId="32" numFmtId="177" xfId="0">
      <alignment horizontal="center" indent="0" shrinkToFit="false" textRotation="0" vertical="center" wrapText="false"/>
      <protection hidden="false" locked="true"/>
    </xf>
    <xf applyAlignment="true" applyBorder="true" applyFont="true" applyProtection="true" borderId="12" fillId="0" fontId="33" numFmtId="169" xfId="0">
      <alignment horizontal="center" indent="0" shrinkToFit="false" textRotation="0" vertical="center" wrapText="true"/>
      <protection hidden="false" locked="true"/>
    </xf>
    <xf applyAlignment="true" applyBorder="true" applyFont="true" applyProtection="true" borderId="12" fillId="0" fontId="32" numFmtId="173" xfId="0">
      <alignment horizontal="center" indent="0" shrinkToFit="false" textRotation="0" vertical="center" wrapText="false"/>
      <protection hidden="false" locked="true"/>
    </xf>
    <xf applyAlignment="true" applyBorder="true" applyFont="true" applyProtection="true" borderId="12" fillId="0" fontId="33" numFmtId="174" xfId="0">
      <alignment horizontal="center" indent="0" shrinkToFit="false" textRotation="0" vertical="center" wrapText="true"/>
      <protection hidden="false" locked="true"/>
    </xf>
    <xf applyAlignment="true" applyBorder="true" applyFont="true" applyProtection="true" borderId="19" fillId="0" fontId="32" numFmtId="173" xfId="0">
      <alignment horizontal="center" indent="0" shrinkToFit="false" textRotation="0" vertical="center" wrapText="false"/>
      <protection hidden="false" locked="true"/>
    </xf>
    <xf applyAlignment="true" applyBorder="true" applyFont="true" applyProtection="true" borderId="11" fillId="0" fontId="32" numFmtId="164" xfId="0">
      <alignment horizontal="left" indent="1" shrinkToFit="false" textRotation="0" vertical="center" wrapText="false"/>
      <protection hidden="false" locked="true"/>
    </xf>
    <xf applyAlignment="true" applyBorder="true" applyFont="true" applyProtection="true" borderId="12" fillId="0" fontId="32" numFmtId="169" xfId="0">
      <alignment horizontal="center" indent="0" shrinkToFit="false" textRotation="0" vertical="center" wrapText="true"/>
      <protection hidden="false" locked="true"/>
    </xf>
    <xf applyAlignment="true" applyBorder="false" applyFont="true" applyProtection="true" borderId="0" fillId="0" fontId="60" numFmtId="164" xfId="0">
      <alignment horizontal="left" indent="0" shrinkToFit="false" textRotation="0" vertical="bottom" wrapText="false"/>
      <protection hidden="false" locked="true"/>
    </xf>
    <xf applyAlignment="true" applyBorder="true" applyFont="true" applyProtection="true" borderId="8" fillId="7" fontId="44" numFmtId="164" xfId="0">
      <alignment horizontal="center" indent="0" shrinkToFit="false" textRotation="0" vertical="center" wrapText="true"/>
      <protection hidden="false" locked="true"/>
    </xf>
    <xf applyAlignment="false" applyBorder="true" applyFont="true" applyProtection="true" borderId="10" fillId="4" fontId="0" numFmtId="164" xfId="0">
      <protection hidden="false" locked="true"/>
    </xf>
    <xf applyAlignment="false" applyBorder="true" applyFont="true" applyProtection="true" borderId="9" fillId="4" fontId="0" numFmtId="164" xfId="0">
      <protection hidden="false" locked="true"/>
    </xf>
    <xf applyAlignment="false" applyBorder="true" applyFont="true" applyProtection="true" borderId="10" fillId="7" fontId="0" numFmtId="164" xfId="0">
      <protection hidden="false" locked="true"/>
    </xf>
    <xf applyAlignment="false" applyBorder="true" applyFont="true" applyProtection="true" borderId="9" fillId="7" fontId="0" numFmtId="164" xfId="0">
      <protection hidden="false" locked="true"/>
    </xf>
    <xf applyAlignment="true" applyBorder="true" applyFont="true" applyProtection="true" borderId="10" fillId="5" fontId="0" numFmtId="164" xfId="0">
      <alignment horizontal="center" indent="0" shrinkToFit="false" textRotation="0" vertical="center" wrapText="false"/>
      <protection hidden="false" locked="true"/>
    </xf>
    <xf applyAlignment="true" applyBorder="true" applyFont="true" applyProtection="true" borderId="10" fillId="5" fontId="31" numFmtId="170" xfId="0">
      <alignment horizontal="center" indent="0" shrinkToFit="false" textRotation="0" vertical="center" wrapText="false"/>
      <protection hidden="false" locked="true"/>
    </xf>
    <xf applyAlignment="true" applyBorder="true" applyFont="true" applyProtection="true" borderId="10" fillId="5" fontId="0" numFmtId="174" xfId="0">
      <alignment horizontal="center" indent="0" shrinkToFit="false" textRotation="0" vertical="center" wrapText="false"/>
      <protection hidden="false" locked="true"/>
    </xf>
    <xf applyAlignment="true" applyBorder="true" applyFont="true" applyProtection="true" borderId="9" fillId="5" fontId="0" numFmtId="165" xfId="0">
      <alignment horizontal="center" indent="0" shrinkToFit="false" textRotation="0" vertical="center" wrapText="false"/>
      <protection hidden="false" locked="true"/>
    </xf>
    <xf applyAlignment="true" applyBorder="true" applyFont="true" applyProtection="true" borderId="10" fillId="11" fontId="0" numFmtId="164" xfId="0">
      <alignment horizontal="center" indent="0" shrinkToFit="false" textRotation="0" vertical="center" wrapText="false"/>
      <protection hidden="false" locked="true"/>
    </xf>
    <xf applyAlignment="true" applyBorder="true" applyFont="true" applyProtection="true" borderId="9" fillId="11" fontId="0" numFmtId="164" xfId="0">
      <alignment horizontal="center" indent="0" shrinkToFit="false" textRotation="0" vertical="center" wrapText="false"/>
      <protection hidden="false" locked="true"/>
    </xf>
    <xf applyAlignment="true" applyBorder="true" applyFont="true" applyProtection="true" borderId="10" fillId="10" fontId="0" numFmtId="164" xfId="0">
      <alignment horizontal="center" indent="0" shrinkToFit="false" textRotation="0" vertical="center" wrapText="false"/>
      <protection hidden="false" locked="true"/>
    </xf>
    <xf applyAlignment="true" applyBorder="true" applyFont="true" applyProtection="true" borderId="9" fillId="10" fontId="0" numFmtId="164" xfId="0">
      <alignment horizontal="center" indent="0" shrinkToFit="false" textRotation="0" vertical="center" wrapText="false"/>
      <protection hidden="false" locked="true"/>
    </xf>
    <xf applyAlignment="true" applyBorder="true" applyFont="true" applyProtection="true" borderId="32" fillId="5" fontId="0" numFmtId="174" xfId="0">
      <alignment horizontal="center" indent="0" shrinkToFit="false" textRotation="0" vertical="center" wrapText="false"/>
      <protection hidden="false" locked="true"/>
    </xf>
    <xf applyAlignment="true" applyBorder="true" applyFont="true" applyProtection="true" borderId="10" fillId="7" fontId="0" numFmtId="164" xfId="0">
      <alignment horizontal="center" indent="0" shrinkToFit="false" textRotation="0" vertical="center" wrapText="false"/>
      <protection hidden="false" locked="true"/>
    </xf>
    <xf applyAlignment="true" applyBorder="true" applyFont="true" applyProtection="true" borderId="9" fillId="7" fontId="0" numFmtId="164" xfId="0">
      <alignment horizontal="center" indent="0" shrinkToFit="false" textRotation="0" vertical="center" wrapText="false"/>
      <protection hidden="false" locked="true"/>
    </xf>
    <xf applyAlignment="true" applyBorder="true" applyFont="true" applyProtection="true" borderId="10" fillId="0" fontId="0" numFmtId="164" xfId="0">
      <alignment horizontal="center" indent="0" shrinkToFit="false" textRotation="0" vertical="center" wrapText="false"/>
      <protection hidden="false" locked="false"/>
    </xf>
    <xf applyAlignment="true" applyBorder="true" applyFont="true" applyProtection="true" borderId="10" fillId="4" fontId="35" numFmtId="164" xfId="0">
      <alignment horizontal="center" indent="0" shrinkToFit="false" textRotation="0" vertical="center" wrapText="false"/>
      <protection hidden="false" locked="true"/>
    </xf>
    <xf applyAlignment="true" applyBorder="true" applyFont="true" applyProtection="true" borderId="9" fillId="4" fontId="35" numFmtId="164" xfId="0">
      <alignment horizontal="center" indent="0" shrinkToFit="false" textRotation="0" vertical="center" wrapText="false"/>
      <protection hidden="false" locked="true"/>
    </xf>
    <xf applyAlignment="true" applyBorder="true" applyFont="true" applyProtection="true" borderId="12" fillId="25" fontId="0" numFmtId="164" xfId="0">
      <alignment horizontal="center" indent="0" shrinkToFit="false" textRotation="0" vertical="center" wrapText="false"/>
      <protection hidden="false" locked="true"/>
    </xf>
    <xf applyAlignment="true" applyBorder="true" applyFont="true" applyProtection="true" borderId="12" fillId="5" fontId="0" numFmtId="164" xfId="0">
      <alignment horizontal="center" indent="0" shrinkToFit="false" textRotation="0" vertical="center" wrapText="false"/>
      <protection hidden="false" locked="true"/>
    </xf>
    <xf applyAlignment="true" applyBorder="true" applyFont="true" applyProtection="true" borderId="12" fillId="5" fontId="31" numFmtId="170" xfId="0">
      <alignment horizontal="center" indent="0" shrinkToFit="false" textRotation="0" vertical="center" wrapText="false"/>
      <protection hidden="false" locked="true"/>
    </xf>
    <xf applyAlignment="true" applyBorder="true" applyFont="true" applyProtection="true" borderId="12" fillId="0" fontId="0" numFmtId="164" xfId="0">
      <alignment horizontal="center" indent="0" shrinkToFit="false" textRotation="0" vertical="center" wrapText="false"/>
      <protection hidden="false" locked="false"/>
    </xf>
    <xf applyAlignment="true" applyBorder="true" applyFont="true" applyProtection="true" borderId="19" fillId="5" fontId="0" numFmtId="165" xfId="0">
      <alignment horizontal="center" indent="0" shrinkToFit="false" textRotation="0" vertical="center" wrapText="false"/>
      <protection hidden="false" locked="true"/>
    </xf>
    <xf applyAlignment="true" applyBorder="false" applyFont="true" applyProtection="true" borderId="0" fillId="0" fontId="0" numFmtId="164" xfId="0">
      <alignment horizontal="center" indent="0" shrinkToFit="false" textRotation="0" vertical="bottom" wrapText="false"/>
      <protection hidden="false" locked="true"/>
    </xf>
    <xf applyAlignment="false" applyBorder="true" applyFont="true" applyProtection="true" borderId="0" fillId="0" fontId="0" numFmtId="164" xfId="0">
      <protection hidden="false" locked="true"/>
    </xf>
    <xf applyAlignment="true" applyBorder="true" applyFont="true" applyProtection="true" borderId="0" fillId="0" fontId="44" numFmtId="164" xfId="0">
      <alignment horizontal="center" indent="0" shrinkToFit="false" textRotation="0" vertical="bottom" wrapText="true"/>
      <protection hidden="false" locked="true"/>
    </xf>
    <xf applyAlignment="true" applyBorder="true" applyFont="true" applyProtection="true" borderId="27" fillId="14" fontId="46" numFmtId="164" xfId="0">
      <alignment horizontal="center" indent="0" shrinkToFit="false" textRotation="0" vertical="center" wrapText="true"/>
      <protection hidden="false" locked="true"/>
    </xf>
    <xf applyAlignment="true" applyBorder="true" applyFont="true" applyProtection="true" borderId="27" fillId="11" fontId="46" numFmtId="164" xfId="0">
      <alignment horizontal="center" indent="0" shrinkToFit="false" textRotation="0" vertical="center" wrapText="true"/>
      <protection hidden="false" locked="true"/>
    </xf>
    <xf applyAlignment="true" applyBorder="true" applyFont="true" applyProtection="true" borderId="8" fillId="11" fontId="46" numFmtId="164" xfId="0">
      <alignment horizontal="center" indent="0" shrinkToFit="false" textRotation="0" vertical="center" wrapText="true"/>
      <protection hidden="false" locked="true"/>
    </xf>
    <xf applyAlignment="true" applyBorder="true" applyFont="true" applyProtection="true" borderId="10" fillId="14" fontId="46" numFmtId="164" xfId="0">
      <alignment horizontal="center" indent="0" shrinkToFit="false" textRotation="0" vertical="center" wrapText="true"/>
      <protection hidden="false" locked="true"/>
    </xf>
    <xf applyAlignment="true" applyBorder="true" applyFont="true" applyProtection="true" borderId="10" fillId="7" fontId="46" numFmtId="164" xfId="0">
      <alignment horizontal="center" indent="0" shrinkToFit="false" textRotation="0" vertical="center" wrapText="true"/>
      <protection hidden="false" locked="true"/>
    </xf>
    <xf applyAlignment="true" applyBorder="true" applyFont="true" applyProtection="true" borderId="10" fillId="11" fontId="46" numFmtId="164" xfId="0">
      <alignment horizontal="center" indent="0" shrinkToFit="false" textRotation="0" vertical="center" wrapText="true"/>
      <protection hidden="false" locked="true"/>
    </xf>
    <xf applyAlignment="true" applyBorder="true" applyFont="true" applyProtection="true" borderId="9" fillId="11" fontId="46" numFmtId="164" xfId="0">
      <alignment horizontal="center" indent="0" shrinkToFit="false" textRotation="0" vertical="center" wrapText="true"/>
      <protection hidden="false" locked="true"/>
    </xf>
    <xf applyAlignment="false" applyBorder="true" applyFont="true" applyProtection="true" borderId="0" fillId="0" fontId="0" numFmtId="166" xfId="0">
      <protection hidden="false" locked="true"/>
    </xf>
    <xf applyAlignment="true" applyBorder="true" applyFont="true" applyProtection="true" borderId="7" fillId="4" fontId="47" numFmtId="164" xfId="0">
      <alignment horizontal="general" indent="0" shrinkToFit="false" textRotation="0" vertical="center" wrapText="false"/>
      <protection hidden="false" locked="true"/>
    </xf>
    <xf applyAlignment="true" applyBorder="true" applyFont="true" applyProtection="true" borderId="10" fillId="4" fontId="57" numFmtId="169" xfId="0">
      <alignment horizontal="center" indent="0" shrinkToFit="false" textRotation="0" vertical="center" wrapText="false"/>
      <protection hidden="false" locked="true"/>
    </xf>
    <xf applyAlignment="true" applyBorder="true" applyFont="true" applyProtection="true" borderId="10" fillId="4" fontId="0" numFmtId="164" xfId="0">
      <alignment horizontal="center" indent="0" shrinkToFit="false" textRotation="0" vertical="center" wrapText="false"/>
      <protection hidden="false" locked="true"/>
    </xf>
    <xf applyAlignment="true" applyBorder="true" applyFont="true" applyProtection="true" borderId="9" fillId="4" fontId="0" numFmtId="164" xfId="0">
      <alignment horizontal="center" indent="0" shrinkToFit="false" textRotation="0" vertical="center" wrapText="false"/>
      <protection hidden="false" locked="true"/>
    </xf>
    <xf applyAlignment="true" applyBorder="true" applyFont="true" applyProtection="true" borderId="7" fillId="2" fontId="45" numFmtId="164" xfId="0">
      <alignment horizontal="general" indent="0" shrinkToFit="false" textRotation="0" vertical="center" wrapText="true"/>
      <protection hidden="false" locked="true"/>
    </xf>
    <xf applyAlignment="true" applyBorder="true" applyFont="true" applyProtection="true" borderId="10" fillId="2" fontId="43" numFmtId="169" xfId="0">
      <alignment horizontal="center" indent="0" shrinkToFit="false" textRotation="0" vertical="center" wrapText="false"/>
      <protection hidden="false" locked="true"/>
    </xf>
    <xf applyAlignment="true" applyBorder="true" applyFont="true" applyProtection="true" borderId="10" fillId="0" fontId="31" numFmtId="177" xfId="0">
      <alignment horizontal="center" indent="0" shrinkToFit="false" textRotation="0" vertical="center" wrapText="false"/>
      <protection hidden="false" locked="true"/>
    </xf>
    <xf applyAlignment="true" applyBorder="true" applyFont="true" applyProtection="true" borderId="10" fillId="0" fontId="31" numFmtId="175" xfId="0">
      <alignment horizontal="center" indent="0" shrinkToFit="false" textRotation="0" vertical="center" wrapText="false"/>
      <protection hidden="false" locked="true"/>
    </xf>
    <xf applyAlignment="true" applyBorder="true" applyFont="true" applyProtection="true" borderId="10" fillId="11" fontId="31" numFmtId="169" xfId="0">
      <alignment horizontal="center" indent="0" shrinkToFit="false" textRotation="0" vertical="center" wrapText="false"/>
      <protection hidden="false" locked="true"/>
    </xf>
    <xf applyAlignment="true" applyBorder="true" applyFont="true" applyProtection="true" borderId="9" fillId="11" fontId="31" numFmtId="169" xfId="0">
      <alignment horizontal="center" indent="0" shrinkToFit="false" textRotation="0" vertical="center" wrapText="false"/>
      <protection hidden="false" locked="true"/>
    </xf>
    <xf applyAlignment="true" applyBorder="true" applyFont="true" applyProtection="true" borderId="10" fillId="4" fontId="43" numFmtId="169" xfId="0">
      <alignment horizontal="center" indent="0" shrinkToFit="false" textRotation="0" vertical="center" wrapText="false"/>
      <protection hidden="false" locked="true"/>
    </xf>
    <xf applyAlignment="true" applyBorder="true" applyFont="true" applyProtection="true" borderId="10" fillId="4" fontId="31" numFmtId="164" xfId="0">
      <alignment horizontal="center" indent="0" shrinkToFit="false" textRotation="0" vertical="center" wrapText="false"/>
      <protection hidden="false" locked="true"/>
    </xf>
    <xf applyAlignment="true" applyBorder="true" applyFont="true" applyProtection="true" borderId="9" fillId="4" fontId="31" numFmtId="164" xfId="0">
      <alignment horizontal="center" indent="0" shrinkToFit="false" textRotation="0" vertical="center" wrapText="false"/>
      <protection hidden="false" locked="true"/>
    </xf>
    <xf applyAlignment="true" applyBorder="true" applyFont="true" applyProtection="true" borderId="7" fillId="7" fontId="49" numFmtId="164" xfId="0">
      <alignment horizontal="general" indent="0" shrinkToFit="false" textRotation="0" vertical="center" wrapText="false"/>
      <protection hidden="false" locked="true"/>
    </xf>
    <xf applyAlignment="true" applyBorder="true" applyFont="true" applyProtection="true" borderId="10" fillId="7" fontId="31" numFmtId="177" xfId="0">
      <alignment horizontal="center" indent="0" shrinkToFit="false" textRotation="0" vertical="center" wrapText="false"/>
      <protection hidden="false" locked="true"/>
    </xf>
    <xf applyAlignment="true" applyBorder="true" applyFont="true" applyProtection="true" borderId="10" fillId="7" fontId="31" numFmtId="175" xfId="0">
      <alignment horizontal="center" indent="0" shrinkToFit="false" textRotation="0" vertical="center" wrapText="false"/>
      <protection hidden="false" locked="true"/>
    </xf>
    <xf applyAlignment="true" applyBorder="true" applyFont="true" applyProtection="true" borderId="10" fillId="7" fontId="31" numFmtId="169" xfId="0">
      <alignment horizontal="center" indent="0" shrinkToFit="false" textRotation="0" vertical="center" wrapText="false"/>
      <protection hidden="false" locked="true"/>
    </xf>
    <xf applyAlignment="true" applyBorder="true" applyFont="true" applyProtection="true" borderId="9" fillId="7" fontId="31" numFmtId="169" xfId="0">
      <alignment horizontal="center" indent="0" shrinkToFit="false" textRotation="0" vertical="center" wrapText="false"/>
      <protection hidden="false" locked="true"/>
    </xf>
    <xf applyAlignment="true" applyBorder="true" applyFont="true" applyProtection="true" borderId="11" fillId="2" fontId="45" numFmtId="164" xfId="0">
      <alignment horizontal="general" indent="0" shrinkToFit="false" textRotation="0" vertical="center" wrapText="true"/>
      <protection hidden="false" locked="true"/>
    </xf>
    <xf applyAlignment="true" applyBorder="true" applyFont="true" applyProtection="true" borderId="12" fillId="2" fontId="43" numFmtId="169" xfId="0">
      <alignment horizontal="center" indent="0" shrinkToFit="false" textRotation="0" vertical="center" wrapText="false"/>
      <protection hidden="false" locked="true"/>
    </xf>
    <xf applyAlignment="true" applyBorder="true" applyFont="true" applyProtection="true" borderId="12" fillId="0" fontId="31" numFmtId="177" xfId="0">
      <alignment horizontal="center" indent="0" shrinkToFit="false" textRotation="0" vertical="center" wrapText="false"/>
      <protection hidden="false" locked="true"/>
    </xf>
    <xf applyAlignment="true" applyBorder="true" applyFont="true" applyProtection="true" borderId="12" fillId="0" fontId="31" numFmtId="175" xfId="0">
      <alignment horizontal="center" indent="0" shrinkToFit="false" textRotation="0" vertical="center" wrapText="false"/>
      <protection hidden="false" locked="true"/>
    </xf>
    <xf applyAlignment="true" applyBorder="true" applyFont="true" applyProtection="true" borderId="12" fillId="11" fontId="31" numFmtId="169" xfId="0">
      <alignment horizontal="center" indent="0" shrinkToFit="false" textRotation="0" vertical="center" wrapText="false"/>
      <protection hidden="false" locked="true"/>
    </xf>
    <xf applyAlignment="true" applyBorder="true" applyFont="true" applyProtection="true" borderId="19" fillId="11" fontId="31" numFmtId="169" xfId="0">
      <alignment horizontal="center" indent="0" shrinkToFit="false" textRotation="0" vertical="center" wrapText="false"/>
      <protection hidden="false" locked="true"/>
    </xf>
    <xf applyAlignment="true" applyBorder="true" applyFont="true" applyProtection="true" borderId="0" fillId="0" fontId="0" numFmtId="164" xfId="0">
      <alignment horizontal="general" indent="0" shrinkToFit="false" textRotation="0" vertical="center" wrapText="true"/>
      <protection hidden="false" locked="true"/>
    </xf>
    <xf applyAlignment="true" applyBorder="true" applyFont="true" applyProtection="true" borderId="0" fillId="0" fontId="0" numFmtId="164" xfId="0">
      <alignment horizontal="center" indent="0" shrinkToFit="false" textRotation="0" vertical="center" wrapText="false"/>
      <protection hidden="false" locked="true"/>
    </xf>
    <xf applyAlignment="true" applyBorder="true" applyFont="true" applyProtection="true" borderId="0" fillId="0" fontId="0" numFmtId="164" xfId="0">
      <alignment horizontal="center" indent="0" shrinkToFit="false" textRotation="0" vertical="center" wrapText="false"/>
      <protection hidden="false" locked="true"/>
    </xf>
    <xf applyAlignment="true" applyBorder="true" applyFont="true" applyProtection="true" borderId="0" fillId="0" fontId="0" numFmtId="169" xfId="0">
      <alignment horizontal="center" indent="0" shrinkToFit="false" textRotation="0" vertical="center" wrapText="false"/>
      <protection hidden="false" locked="true"/>
    </xf>
    <xf applyAlignment="true" applyBorder="true" applyFont="true" applyProtection="true" borderId="2" fillId="2" fontId="28" numFmtId="164" xfId="0">
      <alignment horizontal="general" indent="0" shrinkToFit="false" textRotation="0" vertical="center" wrapText="true"/>
      <protection hidden="false" locked="true"/>
    </xf>
    <xf applyAlignment="true" applyBorder="true" applyFont="true" applyProtection="true" borderId="2" fillId="11" fontId="42" numFmtId="169" xfId="0">
      <alignment horizontal="center" indent="0" shrinkToFit="false" textRotation="0" vertical="center" wrapText="false"/>
      <protection hidden="false" locked="true"/>
    </xf>
    <xf applyAlignment="true" applyBorder="true" applyFont="true" applyProtection="true" borderId="76" fillId="0" fontId="44" numFmtId="164" xfId="0">
      <alignment horizontal="center" indent="0" shrinkToFit="false" textRotation="0" vertical="bottom" wrapText="true"/>
      <protection hidden="false" locked="true"/>
    </xf>
    <xf applyAlignment="true" applyBorder="true" applyFont="true" applyProtection="true" borderId="10" fillId="2" fontId="57" numFmtId="169" xfId="0">
      <alignment horizontal="center" indent="0" shrinkToFit="false" textRotation="0" vertical="center" wrapText="false"/>
      <protection hidden="false" locked="true"/>
    </xf>
    <xf applyAlignment="true" applyBorder="true" applyFont="true" applyProtection="true" borderId="10" fillId="0" fontId="31" numFmtId="174" xfId="0">
      <alignment horizontal="center" indent="0" shrinkToFit="false" textRotation="0" vertical="center" wrapText="false"/>
      <protection hidden="false" locked="true"/>
    </xf>
    <xf applyAlignment="true" applyBorder="true" applyFont="true" applyProtection="true" borderId="10" fillId="7" fontId="0" numFmtId="177" xfId="0">
      <alignment horizontal="center" indent="0" shrinkToFit="false" textRotation="0" vertical="center" wrapText="false"/>
      <protection hidden="false" locked="true"/>
    </xf>
    <xf applyAlignment="true" applyBorder="true" applyFont="true" applyProtection="true" borderId="12" fillId="2" fontId="57" numFmtId="169" xfId="0">
      <alignment horizontal="center" indent="0" shrinkToFit="false" textRotation="0" vertical="center" wrapText="false"/>
      <protection hidden="false" locked="true"/>
    </xf>
    <xf applyAlignment="false" applyBorder="false" applyFont="true" applyProtection="true" borderId="0" fillId="0" fontId="54" numFmtId="164" xfId="0">
      <protection hidden="false" locked="true"/>
    </xf>
    <xf applyAlignment="true" applyBorder="true" applyFont="true" applyProtection="true" borderId="76" fillId="0" fontId="61" numFmtId="164" xfId="0">
      <alignment horizontal="center" indent="0" shrinkToFit="false" textRotation="0" vertical="center" wrapText="true"/>
      <protection hidden="false" locked="true"/>
    </xf>
    <xf applyAlignment="true" applyBorder="true" applyFont="true" applyProtection="true" borderId="13" fillId="7" fontId="44" numFmtId="164" xfId="0">
      <alignment horizontal="center" indent="0" shrinkToFit="false" textRotation="0" vertical="center" wrapText="true"/>
      <protection hidden="false" locked="true"/>
    </xf>
    <xf applyAlignment="true" applyBorder="true" applyFont="true" applyProtection="true" borderId="27" fillId="7" fontId="44" numFmtId="164" xfId="0">
      <alignment horizontal="center" indent="0" shrinkToFit="false" textRotation="0" vertical="center" wrapText="true"/>
      <protection hidden="false" locked="true"/>
    </xf>
    <xf applyAlignment="false" applyBorder="false" applyFont="true" applyProtection="true" borderId="0" fillId="0" fontId="31" numFmtId="166" xfId="0">
      <protection hidden="false" locked="true"/>
    </xf>
    <xf applyAlignment="true" applyBorder="true" applyFont="true" applyProtection="true" borderId="7" fillId="11" fontId="43" numFmtId="164" xfId="0">
      <alignment horizontal="left" indent="1" shrinkToFit="false" textRotation="0" vertical="center" wrapText="true"/>
      <protection hidden="false" locked="true"/>
    </xf>
    <xf applyAlignment="true" applyBorder="true" applyFont="true" applyProtection="true" borderId="10" fillId="5" fontId="43" numFmtId="164" xfId="19">
      <alignment horizontal="center" indent="0" shrinkToFit="false" textRotation="0" vertical="center" wrapText="true"/>
      <protection hidden="false" locked="true"/>
    </xf>
    <xf applyAlignment="true" applyBorder="true" applyFont="true" applyProtection="true" borderId="9" fillId="5" fontId="43" numFmtId="164" xfId="19">
      <alignment horizontal="center" indent="0" shrinkToFit="false" textRotation="0" vertical="center" wrapText="true"/>
      <protection hidden="false" locked="true"/>
    </xf>
    <xf applyAlignment="true" applyBorder="true" applyFont="true" applyProtection="true" borderId="7" fillId="22" fontId="43" numFmtId="164" xfId="0">
      <alignment horizontal="left" indent="1" shrinkToFit="false" textRotation="0" vertical="center" wrapText="true"/>
      <protection hidden="false" locked="true"/>
    </xf>
    <xf applyAlignment="true" applyBorder="true" applyFont="true" applyProtection="true" borderId="10" fillId="14" fontId="43" numFmtId="164" xfId="0">
      <alignment horizontal="center" indent="0" shrinkToFit="false" textRotation="0" vertical="center" wrapText="true"/>
      <protection hidden="false" locked="true"/>
    </xf>
    <xf applyAlignment="true" applyBorder="true" applyFont="true" applyProtection="true" borderId="9" fillId="0" fontId="43" numFmtId="164" xfId="0">
      <alignment horizontal="center" indent="0" shrinkToFit="false" textRotation="0" vertical="center" wrapText="true"/>
      <protection hidden="false" locked="false"/>
    </xf>
    <xf applyAlignment="true" applyBorder="true" applyFont="true" applyProtection="true" borderId="10" fillId="14" fontId="57" numFmtId="165" xfId="0">
      <alignment horizontal="center" indent="0" shrinkToFit="false" textRotation="0" vertical="center" wrapText="true"/>
      <protection hidden="false" locked="true"/>
    </xf>
    <xf applyAlignment="true" applyBorder="true" applyFont="true" applyProtection="true" borderId="9" fillId="0" fontId="57" numFmtId="165" xfId="0">
      <alignment horizontal="center" indent="0" shrinkToFit="false" textRotation="0" vertical="center" wrapText="true"/>
      <protection hidden="false" locked="false"/>
    </xf>
    <xf applyAlignment="true" applyBorder="false" applyFont="true" applyProtection="true" borderId="0" fillId="0" fontId="43" numFmtId="169" xfId="0">
      <alignment horizontal="general" indent="0" shrinkToFit="false" textRotation="0" vertical="bottom" wrapText="false"/>
      <protection hidden="false" locked="true"/>
    </xf>
    <xf applyAlignment="true" applyBorder="true" applyFont="true" applyProtection="true" borderId="10" fillId="14" fontId="43" numFmtId="165" xfId="0">
      <alignment horizontal="center" indent="0" shrinkToFit="false" textRotation="0" vertical="center" wrapText="true"/>
      <protection hidden="false" locked="true"/>
    </xf>
    <xf applyAlignment="true" applyBorder="true" applyFont="true" applyProtection="true" borderId="9" fillId="0" fontId="43" numFmtId="165" xfId="0">
      <alignment horizontal="center" indent="0" shrinkToFit="false" textRotation="0" vertical="center" wrapText="true"/>
      <protection hidden="false" locked="false"/>
    </xf>
    <xf applyAlignment="true" applyBorder="true" applyFont="true" applyProtection="true" borderId="10" fillId="14" fontId="57" numFmtId="171" xfId="0">
      <alignment horizontal="center" indent="0" shrinkToFit="false" textRotation="0" vertical="center" wrapText="true"/>
      <protection hidden="false" locked="true"/>
    </xf>
    <xf applyAlignment="true" applyBorder="true" applyFont="true" applyProtection="true" borderId="10" fillId="11" fontId="43" numFmtId="176" xfId="0">
      <alignment horizontal="center" indent="0" shrinkToFit="false" textRotation="0" vertical="center" wrapText="true"/>
      <protection hidden="false" locked="true"/>
    </xf>
    <xf applyAlignment="true" applyBorder="true" applyFont="true" applyProtection="true" borderId="9" fillId="11" fontId="43" numFmtId="176" xfId="0">
      <alignment horizontal="center" indent="0" shrinkToFit="false" textRotation="0" vertical="center" wrapText="true"/>
      <protection hidden="false" locked="true"/>
    </xf>
    <xf applyAlignment="true" applyBorder="true" applyFont="true" applyProtection="true" borderId="10" fillId="14" fontId="43" numFmtId="176" xfId="0">
      <alignment horizontal="center" indent="0" shrinkToFit="false" textRotation="0" vertical="center" wrapText="true"/>
      <protection hidden="false" locked="true"/>
    </xf>
    <xf applyAlignment="true" applyBorder="true" applyFont="true" applyProtection="true" borderId="9" fillId="0" fontId="43" numFmtId="176" xfId="0">
      <alignment horizontal="center" indent="0" shrinkToFit="false" textRotation="0" vertical="center" wrapText="true"/>
      <protection hidden="false" locked="false"/>
    </xf>
    <xf applyAlignment="true" applyBorder="true" applyFont="true" applyProtection="true" borderId="10" fillId="14" fontId="44" numFmtId="165" xfId="0">
      <alignment horizontal="center" indent="0" shrinkToFit="false" textRotation="0" vertical="center" wrapText="true"/>
      <protection hidden="false" locked="true"/>
    </xf>
    <xf applyAlignment="true" applyBorder="true" applyFont="true" applyProtection="true" borderId="58" fillId="5" fontId="43" numFmtId="164" xfId="0">
      <alignment horizontal="left" indent="1" shrinkToFit="false" textRotation="0" vertical="center" wrapText="true"/>
      <protection hidden="false" locked="true"/>
    </xf>
    <xf applyAlignment="true" applyBorder="true" applyFont="true" applyProtection="true" borderId="32" fillId="5" fontId="43" numFmtId="164" xfId="19">
      <alignment horizontal="center" indent="0" shrinkToFit="false" textRotation="0" vertical="center" wrapText="true"/>
      <protection hidden="false" locked="true"/>
    </xf>
    <xf applyAlignment="true" applyBorder="true" applyFont="true" applyProtection="true" borderId="59" fillId="5" fontId="43" numFmtId="164" xfId="19">
      <alignment horizontal="center" indent="0" shrinkToFit="false" textRotation="0" vertical="center" wrapText="true"/>
      <protection hidden="false" locked="true"/>
    </xf>
    <xf applyAlignment="true" applyBorder="true" applyFont="true" applyProtection="true" borderId="13" fillId="22" fontId="43" numFmtId="164" xfId="0">
      <alignment horizontal="left" indent="1" shrinkToFit="false" textRotation="0" vertical="center" wrapText="true"/>
      <protection hidden="false" locked="true"/>
    </xf>
    <xf applyAlignment="true" applyBorder="true" applyFont="true" applyProtection="true" borderId="27" fillId="14" fontId="38" numFmtId="170" xfId="19">
      <alignment horizontal="center" indent="0" shrinkToFit="false" textRotation="0" vertical="center" wrapText="true"/>
      <protection hidden="false" locked="true"/>
    </xf>
    <xf applyAlignment="true" applyBorder="true" applyFont="true" applyProtection="true" borderId="8" fillId="0" fontId="38" numFmtId="164" xfId="19">
      <alignment horizontal="center" indent="0" shrinkToFit="false" textRotation="0" vertical="center" wrapText="true"/>
      <protection hidden="false" locked="false"/>
    </xf>
    <xf applyAlignment="true" applyBorder="true" applyFont="true" applyProtection="true" borderId="10" fillId="14" fontId="38" numFmtId="170" xfId="19">
      <alignment horizontal="center" indent="0" shrinkToFit="false" textRotation="0" vertical="center" wrapText="true"/>
      <protection hidden="false" locked="true"/>
    </xf>
    <xf applyAlignment="true" applyBorder="true" applyFont="true" applyProtection="true" borderId="9" fillId="0" fontId="38" numFmtId="164" xfId="19">
      <alignment horizontal="center" indent="0" shrinkToFit="false" textRotation="0" vertical="center" wrapText="true"/>
      <protection hidden="false" locked="false"/>
    </xf>
    <xf applyAlignment="true" applyBorder="true" applyFont="true" applyProtection="true" borderId="11" fillId="22" fontId="43" numFmtId="164" xfId="0">
      <alignment horizontal="left" indent="1" shrinkToFit="false" textRotation="0" vertical="center" wrapText="true"/>
      <protection hidden="false" locked="true"/>
    </xf>
    <xf applyAlignment="true" applyBorder="true" applyFont="true" applyProtection="true" borderId="12" fillId="14" fontId="38" numFmtId="170" xfId="19">
      <alignment horizontal="center" indent="0" shrinkToFit="false" textRotation="0" vertical="center" wrapText="true"/>
      <protection hidden="false" locked="true"/>
    </xf>
    <xf applyAlignment="true" applyBorder="true" applyFont="true" applyProtection="true" borderId="19" fillId="0" fontId="38" numFmtId="164" xfId="19">
      <alignment horizontal="center" indent="0" shrinkToFit="false" textRotation="0" vertical="center" wrapText="true"/>
      <protection hidden="false" locked="false"/>
    </xf>
    <xf applyAlignment="false" applyBorder="false" applyFont="true" applyProtection="true" borderId="0" fillId="0" fontId="5" numFmtId="164" xfId="0">
      <protection hidden="false" locked="true"/>
    </xf>
    <xf applyAlignment="true" applyBorder="false" applyFont="true" applyProtection="true" borderId="0" fillId="0" fontId="62" numFmtId="164" xfId="0">
      <alignment horizontal="general" indent="0" shrinkToFit="false" textRotation="0" vertical="center" wrapText="false"/>
      <protection hidden="false" locked="true"/>
    </xf>
    <xf applyAlignment="true" applyBorder="true" applyFont="true" applyProtection="true" borderId="0" fillId="0" fontId="62" numFmtId="164" xfId="0">
      <alignment horizontal="center" indent="0" shrinkToFit="false" textRotation="0" vertical="center" wrapText="false"/>
      <protection hidden="false" locked="true"/>
    </xf>
    <xf applyAlignment="true" applyBorder="false" applyFont="true" applyProtection="true" borderId="0" fillId="0" fontId="63" numFmtId="164" xfId="0">
      <alignment horizontal="general" indent="0" shrinkToFit="false" textRotation="0" vertical="center" wrapText="true"/>
      <protection hidden="false" locked="true"/>
    </xf>
    <xf applyAlignment="true" applyBorder="false" applyFont="true" applyProtection="true" borderId="0" fillId="0" fontId="63" numFmtId="164" xfId="0">
      <alignment horizontal="left" indent="0" shrinkToFit="false" textRotation="0" vertical="center" wrapText="false"/>
      <protection hidden="false" locked="true"/>
    </xf>
    <xf applyAlignment="true" applyBorder="true" applyFont="true" applyProtection="true" borderId="0" fillId="0" fontId="5" numFmtId="164" xfId="0">
      <alignment horizontal="center" indent="0" shrinkToFit="false" textRotation="0" vertical="center" wrapText="false"/>
      <protection hidden="false" locked="true"/>
    </xf>
    <xf applyAlignment="true" applyBorder="true" applyFont="true" applyProtection="true" borderId="0" fillId="0" fontId="16" numFmtId="164" xfId="0">
      <alignment horizontal="center" indent="0" shrinkToFit="false" textRotation="0" vertical="center" wrapText="true"/>
      <protection hidden="false" locked="true"/>
    </xf>
    <xf applyAlignment="true" applyBorder="true" applyFont="true" applyProtection="true" borderId="3" fillId="11" fontId="13" numFmtId="164" xfId="0">
      <alignment horizontal="center" indent="0" shrinkToFit="false" textRotation="0" vertical="center" wrapText="true"/>
      <protection hidden="false" locked="true"/>
    </xf>
    <xf applyAlignment="true" applyBorder="true" applyFont="true" applyProtection="true" borderId="6" fillId="11" fontId="16" numFmtId="164" xfId="0">
      <alignment horizontal="center" indent="0" shrinkToFit="false" textRotation="0" vertical="center" wrapText="true"/>
      <protection hidden="false" locked="true"/>
    </xf>
    <xf applyAlignment="true" applyBorder="true" applyFont="true" applyProtection="true" borderId="77" fillId="11" fontId="16" numFmtId="164" xfId="0">
      <alignment horizontal="center" indent="0" shrinkToFit="false" textRotation="0" vertical="center" wrapText="true"/>
      <protection hidden="false" locked="true"/>
    </xf>
    <xf applyAlignment="true" applyBorder="true" applyFont="true" applyProtection="true" borderId="2" fillId="11" fontId="16" numFmtId="164" xfId="0">
      <alignment horizontal="center" indent="0" shrinkToFit="false" textRotation="0" vertical="center" wrapText="true"/>
      <protection hidden="false" locked="true"/>
    </xf>
    <xf applyAlignment="true" applyBorder="true" applyFont="true" applyProtection="true" borderId="13" fillId="11" fontId="16" numFmtId="164" xfId="0">
      <alignment horizontal="center" indent="0" shrinkToFit="false" textRotation="0" vertical="center" wrapText="true"/>
      <protection hidden="false" locked="true"/>
    </xf>
    <xf applyAlignment="true" applyBorder="true" applyFont="true" applyProtection="true" borderId="27" fillId="11" fontId="16" numFmtId="164" xfId="0">
      <alignment horizontal="center" indent="0" shrinkToFit="false" textRotation="0" vertical="center" wrapText="true"/>
      <protection hidden="false" locked="true"/>
    </xf>
    <xf applyAlignment="true" applyBorder="true" applyFont="true" applyProtection="true" borderId="78" fillId="11" fontId="16" numFmtId="164" xfId="0">
      <alignment horizontal="center" indent="0" shrinkToFit="false" textRotation="0" vertical="center" wrapText="true"/>
      <protection hidden="false" locked="true"/>
    </xf>
    <xf applyAlignment="true" applyBorder="true" applyFont="true" applyProtection="true" borderId="79" fillId="11" fontId="16" numFmtId="164" xfId="0">
      <alignment horizontal="center" indent="0" shrinkToFit="false" textRotation="0" vertical="center" wrapText="true"/>
      <protection hidden="false" locked="true"/>
    </xf>
    <xf applyAlignment="true" applyBorder="true" applyFont="true" applyProtection="true" borderId="28" fillId="11" fontId="16" numFmtId="164" xfId="0">
      <alignment horizontal="center" indent="0" shrinkToFit="false" textRotation="0" vertical="center" wrapText="true"/>
      <protection hidden="false" locked="true"/>
    </xf>
    <xf applyAlignment="true" applyBorder="true" applyFont="true" applyProtection="true" borderId="80" fillId="11" fontId="16" numFmtId="164" xfId="0">
      <alignment horizontal="center" indent="0" shrinkToFit="false" textRotation="0" vertical="center" wrapText="true"/>
      <protection hidden="false" locked="true"/>
    </xf>
    <xf applyAlignment="true" applyBorder="true" applyFont="true" applyProtection="true" borderId="11" fillId="11" fontId="16" numFmtId="164" xfId="0">
      <alignment horizontal="center" indent="0" shrinkToFit="false" textRotation="0" vertical="center" wrapText="true"/>
      <protection hidden="false" locked="true"/>
    </xf>
    <xf applyAlignment="true" applyBorder="true" applyFont="true" applyProtection="true" borderId="12" fillId="11" fontId="16" numFmtId="164" xfId="0">
      <alignment horizontal="center" indent="0" shrinkToFit="false" textRotation="0" vertical="center" wrapText="true"/>
      <protection hidden="false" locked="true"/>
    </xf>
    <xf applyAlignment="true" applyBorder="true" applyFont="true" applyProtection="true" borderId="81" fillId="11" fontId="16" numFmtId="164" xfId="0">
      <alignment horizontal="center" indent="0" shrinkToFit="false" textRotation="0" vertical="center" wrapText="true"/>
      <protection hidden="false" locked="true"/>
    </xf>
    <xf applyAlignment="true" applyBorder="true" applyFont="true" applyProtection="true" borderId="82" fillId="11" fontId="16" numFmtId="164" xfId="0">
      <alignment horizontal="center" indent="0" shrinkToFit="false" textRotation="0" vertical="center" wrapText="true"/>
      <protection hidden="false" locked="true"/>
    </xf>
    <xf applyAlignment="true" applyBorder="true" applyFont="true" applyProtection="true" borderId="83" fillId="11" fontId="16" numFmtId="164" xfId="0">
      <alignment horizontal="center" indent="0" shrinkToFit="false" textRotation="0" vertical="center" wrapText="true"/>
      <protection hidden="false" locked="true"/>
    </xf>
    <xf applyAlignment="true" applyBorder="true" applyFont="true" applyProtection="true" borderId="30" fillId="11" fontId="16" numFmtId="164" xfId="0">
      <alignment horizontal="center" indent="0" shrinkToFit="false" textRotation="0" vertical="center" wrapText="true"/>
      <protection hidden="false" locked="true"/>
    </xf>
    <xf applyAlignment="true" applyBorder="true" applyFont="true" applyProtection="true" borderId="19" fillId="11" fontId="16" numFmtId="164" xfId="0">
      <alignment horizontal="center" indent="0" shrinkToFit="false" textRotation="0" vertical="center" wrapText="true"/>
      <protection hidden="false" locked="true"/>
    </xf>
    <xf applyAlignment="true" applyBorder="true" applyFont="true" applyProtection="true" borderId="0" fillId="0" fontId="12" numFmtId="166" xfId="0">
      <alignment horizontal="center" indent="0" shrinkToFit="false" textRotation="90" vertical="center" wrapText="true"/>
      <protection hidden="false" locked="true"/>
    </xf>
    <xf applyAlignment="true" applyBorder="true" applyFont="true" applyProtection="true" borderId="17" fillId="7" fontId="13" numFmtId="164" xfId="0">
      <alignment horizontal="left" indent="1" shrinkToFit="false" textRotation="0" vertical="center" wrapText="false"/>
      <protection hidden="false" locked="true"/>
    </xf>
    <xf applyAlignment="true" applyBorder="true" applyFont="true" applyProtection="true" borderId="72" fillId="7" fontId="5" numFmtId="164" xfId="0">
      <alignment horizontal="general" indent="0" shrinkToFit="false" textRotation="0" vertical="center" wrapText="false"/>
      <protection hidden="false" locked="true"/>
    </xf>
    <xf applyAlignment="true" applyBorder="true" applyFont="true" applyProtection="true" borderId="84" fillId="7" fontId="5" numFmtId="169" xfId="0">
      <alignment horizontal="center" indent="0" shrinkToFit="false" textRotation="0" vertical="center" wrapText="false"/>
      <protection hidden="false" locked="true"/>
    </xf>
    <xf applyAlignment="true" applyBorder="true" applyFont="true" applyProtection="true" borderId="57" fillId="7" fontId="26" numFmtId="169" xfId="0">
      <alignment horizontal="center" indent="0" shrinkToFit="false" textRotation="0" vertical="center" wrapText="false"/>
      <protection hidden="false" locked="true"/>
    </xf>
    <xf applyAlignment="true" applyBorder="true" applyFont="true" applyProtection="true" borderId="21" fillId="7" fontId="5" numFmtId="169" xfId="0">
      <alignment horizontal="center" indent="0" shrinkToFit="false" textRotation="0" vertical="center" wrapText="false"/>
      <protection hidden="false" locked="true"/>
    </xf>
    <xf applyAlignment="true" applyBorder="true" applyFont="true" applyProtection="true" borderId="21" fillId="7" fontId="26" numFmtId="171" xfId="0">
      <alignment horizontal="center" indent="0" shrinkToFit="false" textRotation="0" vertical="center" wrapText="false"/>
      <protection hidden="false" locked="true"/>
    </xf>
    <xf applyAlignment="true" applyBorder="true" applyFont="true" applyProtection="true" borderId="21" fillId="7" fontId="26" numFmtId="169" xfId="0">
      <alignment horizontal="center" indent="0" shrinkToFit="false" textRotation="0" vertical="center" wrapText="false"/>
      <protection hidden="false" locked="true"/>
    </xf>
    <xf applyAlignment="true" applyBorder="true" applyFont="true" applyProtection="true" borderId="72" fillId="7" fontId="26" numFmtId="171" xfId="0">
      <alignment horizontal="center" indent="0" shrinkToFit="false" textRotation="0" vertical="center" wrapText="false"/>
      <protection hidden="false" locked="true"/>
    </xf>
    <xf applyAlignment="true" applyBorder="true" applyFont="true" applyProtection="true" borderId="85" fillId="7" fontId="26" numFmtId="169" xfId="0">
      <alignment horizontal="center" indent="0" shrinkToFit="false" textRotation="0" vertical="center" wrapText="false"/>
      <protection hidden="false" locked="true"/>
    </xf>
    <xf applyAlignment="true" applyBorder="true" applyFont="true" applyProtection="true" borderId="86" fillId="7" fontId="26" numFmtId="170" xfId="0">
      <alignment horizontal="center" indent="0" shrinkToFit="false" textRotation="0" vertical="center" wrapText="false"/>
      <protection hidden="false" locked="true"/>
    </xf>
    <xf applyAlignment="true" applyBorder="true" applyFont="true" applyProtection="true" borderId="21" fillId="7" fontId="26" numFmtId="170" xfId="0">
      <alignment horizontal="center" indent="0" shrinkToFit="false" textRotation="0" vertical="center" wrapText="false"/>
      <protection hidden="false" locked="true"/>
    </xf>
    <xf applyAlignment="true" applyBorder="true" applyFont="true" applyProtection="true" borderId="72" fillId="7" fontId="26" numFmtId="170" xfId="0">
      <alignment horizontal="center" indent="0" shrinkToFit="false" textRotation="0" vertical="center" wrapText="false"/>
      <protection hidden="false" locked="true"/>
    </xf>
    <xf applyAlignment="true" applyBorder="true" applyFont="true" applyProtection="true" borderId="21" fillId="7" fontId="52" numFmtId="164" xfId="17">
      <alignment horizontal="center" indent="0" shrinkToFit="false" textRotation="0" vertical="center" wrapText="false"/>
      <protection hidden="false" locked="true"/>
    </xf>
    <xf applyAlignment="true" applyBorder="true" applyFont="true" applyProtection="true" borderId="18" fillId="7" fontId="26" numFmtId="170" xfId="0">
      <alignment horizontal="center" indent="0" shrinkToFit="false" textRotation="0" vertical="center" wrapText="false"/>
      <protection hidden="false" locked="true"/>
    </xf>
    <xf applyAlignment="true" applyBorder="true" applyFont="true" applyProtection="true" borderId="7" fillId="10" fontId="5" numFmtId="164" xfId="0">
      <alignment horizontal="left" indent="1" shrinkToFit="false" textRotation="0" vertical="center" wrapText="true"/>
      <protection hidden="false" locked="true"/>
    </xf>
    <xf applyAlignment="true" applyBorder="true" applyFont="true" applyProtection="true" borderId="33" fillId="6" fontId="5" numFmtId="164" xfId="0">
      <alignment horizontal="center" indent="0" shrinkToFit="false" textRotation="0" vertical="center" wrapText="false"/>
      <protection hidden="false" locked="true"/>
    </xf>
    <xf applyAlignment="true" applyBorder="true" applyFont="true" applyProtection="true" borderId="87" fillId="2" fontId="18" numFmtId="169" xfId="0">
      <alignment horizontal="center" indent="0" shrinkToFit="false" textRotation="0" vertical="center" wrapText="false"/>
      <protection hidden="false" locked="true"/>
    </xf>
    <xf applyAlignment="true" applyBorder="true" applyFont="true" applyProtection="true" borderId="29" fillId="7" fontId="5" numFmtId="169" xfId="0">
      <alignment horizontal="center" indent="0" shrinkToFit="false" textRotation="0" vertical="center" wrapText="false"/>
      <protection hidden="false" locked="true"/>
    </xf>
    <xf applyAlignment="true" applyBorder="true" applyFont="true" applyProtection="true" borderId="10" fillId="0" fontId="18" numFmtId="169" xfId="0">
      <alignment horizontal="center" indent="0" shrinkToFit="false" textRotation="0" vertical="center" wrapText="false"/>
      <protection hidden="false" locked="false"/>
    </xf>
    <xf applyAlignment="true" applyBorder="true" applyFont="true" applyProtection="true" borderId="10" fillId="0" fontId="5" numFmtId="171" xfId="0">
      <alignment horizontal="center" indent="0" shrinkToFit="false" textRotation="0" vertical="center" wrapText="false"/>
      <protection hidden="false" locked="true"/>
    </xf>
    <xf applyAlignment="true" applyBorder="true" applyFont="true" applyProtection="true" borderId="10" fillId="7" fontId="5" numFmtId="169" xfId="0">
      <alignment horizontal="center" indent="0" shrinkToFit="false" textRotation="0" vertical="center" wrapText="false"/>
      <protection hidden="false" locked="true"/>
    </xf>
    <xf applyAlignment="true" applyBorder="true" applyFont="true" applyProtection="true" borderId="10" fillId="0" fontId="5" numFmtId="169" xfId="0">
      <alignment horizontal="center" indent="0" shrinkToFit="false" textRotation="0" vertical="center" wrapText="false"/>
      <protection hidden="false" locked="false"/>
    </xf>
    <xf applyAlignment="true" applyBorder="true" applyFont="true" applyProtection="true" borderId="33" fillId="0" fontId="5" numFmtId="171" xfId="0">
      <alignment horizontal="center" indent="0" shrinkToFit="false" textRotation="0" vertical="center" wrapText="false"/>
      <protection hidden="false" locked="true"/>
    </xf>
    <xf applyAlignment="true" applyBorder="true" applyFont="true" applyProtection="true" borderId="88" fillId="0" fontId="5" numFmtId="169" xfId="0">
      <alignment horizontal="center" indent="0" shrinkToFit="false" textRotation="0" vertical="center" wrapText="false"/>
      <protection hidden="false" locked="true"/>
    </xf>
    <xf applyAlignment="true" applyBorder="true" applyFont="true" applyProtection="true" borderId="10" fillId="0" fontId="18" numFmtId="169" xfId="0">
      <alignment horizontal="center" indent="0" shrinkToFit="false" textRotation="0" vertical="center" wrapText="false"/>
      <protection hidden="false" locked="true"/>
    </xf>
    <xf applyAlignment="true" applyBorder="true" applyFont="true" applyProtection="true" borderId="89" fillId="0" fontId="5" numFmtId="170" xfId="0">
      <alignment horizontal="center" indent="0" shrinkToFit="false" textRotation="0" vertical="center" wrapText="false"/>
      <protection hidden="false" locked="true"/>
    </xf>
    <xf applyAlignment="true" applyBorder="true" applyFont="true" applyProtection="true" borderId="10" fillId="0" fontId="5" numFmtId="170" xfId="0">
      <alignment horizontal="center" indent="0" shrinkToFit="false" textRotation="0" vertical="center" wrapText="false"/>
      <protection hidden="false" locked="true"/>
    </xf>
    <xf applyAlignment="true" applyBorder="true" applyFont="true" applyProtection="true" borderId="33" fillId="0" fontId="5" numFmtId="170" xfId="0">
      <alignment horizontal="center" indent="0" shrinkToFit="false" textRotation="0" vertical="center" wrapText="false"/>
      <protection hidden="false" locked="true"/>
    </xf>
    <xf applyAlignment="true" applyBorder="true" applyFont="true" applyProtection="true" borderId="10" fillId="0" fontId="5" numFmtId="164" xfId="17">
      <alignment horizontal="center" indent="0" shrinkToFit="false" textRotation="0" vertical="center" wrapText="false"/>
      <protection hidden="false" locked="false"/>
    </xf>
    <xf applyAlignment="true" applyBorder="true" applyFont="true" applyProtection="true" borderId="88" fillId="7" fontId="5" numFmtId="169" xfId="0">
      <alignment horizontal="center" indent="0" shrinkToFit="false" textRotation="0" vertical="center" wrapText="false"/>
      <protection hidden="false" locked="true"/>
    </xf>
    <xf applyAlignment="true" applyBorder="true" applyFont="true" applyProtection="true" borderId="29" fillId="14" fontId="5" numFmtId="169" xfId="0">
      <alignment horizontal="center" indent="0" shrinkToFit="false" textRotation="0" vertical="center" wrapText="false"/>
      <protection hidden="false" locked="true"/>
    </xf>
    <xf applyAlignment="true" applyBorder="true" applyFont="true" applyProtection="true" borderId="10" fillId="14" fontId="5" numFmtId="169" xfId="0">
      <alignment horizontal="center" indent="0" shrinkToFit="false" textRotation="0" vertical="center" wrapText="false"/>
      <protection hidden="false" locked="true"/>
    </xf>
    <xf applyAlignment="true" applyBorder="true" applyFont="true" applyProtection="true" borderId="9" fillId="14" fontId="5" numFmtId="170" xfId="0">
      <alignment horizontal="center" indent="0" shrinkToFit="false" textRotation="0" vertical="center" wrapText="false"/>
      <protection hidden="false" locked="true"/>
    </xf>
    <xf applyAlignment="true" applyBorder="false" applyFont="true" applyProtection="true" borderId="0" fillId="0" fontId="5" numFmtId="164" xfId="0">
      <alignment horizontal="general" indent="0" shrinkToFit="false" textRotation="0" vertical="center" wrapText="false"/>
      <protection hidden="false" locked="true"/>
    </xf>
    <xf applyAlignment="true" applyBorder="true" applyFont="true" applyProtection="true" borderId="10" fillId="0" fontId="5" numFmtId="169" xfId="0">
      <alignment horizontal="center" indent="0" shrinkToFit="false" textRotation="0" vertical="center" wrapText="false"/>
      <protection hidden="false" locked="true"/>
    </xf>
    <xf applyAlignment="true" applyBorder="true" applyFont="true" applyProtection="true" borderId="87" fillId="2" fontId="5" numFmtId="169" xfId="0">
      <alignment horizontal="center" indent="0" shrinkToFit="false" textRotation="0" vertical="center" wrapText="false"/>
      <protection hidden="false" locked="true"/>
    </xf>
    <xf applyAlignment="false" applyBorder="true" applyFont="true" applyProtection="true" borderId="0" fillId="0" fontId="5" numFmtId="164" xfId="0">
      <protection hidden="false" locked="true"/>
    </xf>
    <xf applyAlignment="true" applyBorder="true" applyFont="true" applyProtection="true" borderId="33" fillId="0" fontId="5" numFmtId="164" xfId="0">
      <alignment horizontal="center" indent="0" shrinkToFit="false" textRotation="0" vertical="center" wrapText="false"/>
      <protection hidden="false" locked="true"/>
    </xf>
    <xf applyAlignment="true" applyBorder="true" applyFont="true" applyProtection="true" borderId="7" fillId="0" fontId="5" numFmtId="164" xfId="0">
      <alignment horizontal="left" indent="2" shrinkToFit="false" textRotation="0" vertical="center" wrapText="true"/>
      <protection hidden="false" locked="true"/>
    </xf>
    <xf applyAlignment="true" applyBorder="true" applyFont="true" applyProtection="true" borderId="7" fillId="7" fontId="13" numFmtId="164" xfId="0">
      <alignment horizontal="left" indent="1" shrinkToFit="false" textRotation="0" vertical="center" wrapText="false"/>
      <protection hidden="false" locked="true"/>
    </xf>
    <xf applyAlignment="true" applyBorder="true" applyFont="true" applyProtection="true" borderId="33" fillId="7" fontId="5" numFmtId="164" xfId="0">
      <alignment horizontal="general" indent="0" shrinkToFit="false" textRotation="0" vertical="center" wrapText="false"/>
      <protection hidden="false" locked="true"/>
    </xf>
    <xf applyAlignment="true" applyBorder="true" applyFont="true" applyProtection="true" borderId="87" fillId="7" fontId="5" numFmtId="169" xfId="0">
      <alignment horizontal="center" indent="0" shrinkToFit="false" textRotation="0" vertical="center" wrapText="false"/>
      <protection hidden="false" locked="true"/>
    </xf>
    <xf applyAlignment="true" applyBorder="true" applyFont="true" applyProtection="true" borderId="10" fillId="7" fontId="5" numFmtId="171" xfId="0">
      <alignment horizontal="center" indent="0" shrinkToFit="false" textRotation="0" vertical="center" wrapText="false"/>
      <protection hidden="false" locked="true"/>
    </xf>
    <xf applyAlignment="true" applyBorder="true" applyFont="true" applyProtection="true" borderId="33" fillId="7" fontId="5" numFmtId="171" xfId="0">
      <alignment horizontal="center" indent="0" shrinkToFit="false" textRotation="0" vertical="center" wrapText="false"/>
      <protection hidden="false" locked="true"/>
    </xf>
    <xf applyAlignment="true" applyBorder="true" applyFont="true" applyProtection="true" borderId="89" fillId="7" fontId="5" numFmtId="170" xfId="0">
      <alignment horizontal="center" indent="0" shrinkToFit="false" textRotation="0" vertical="center" wrapText="false"/>
      <protection hidden="false" locked="true"/>
    </xf>
    <xf applyAlignment="true" applyBorder="true" applyFont="true" applyProtection="true" borderId="10" fillId="7" fontId="5" numFmtId="170" xfId="0">
      <alignment horizontal="center" indent="0" shrinkToFit="false" textRotation="0" vertical="center" wrapText="false"/>
      <protection hidden="false" locked="true"/>
    </xf>
    <xf applyAlignment="true" applyBorder="true" applyFont="true" applyProtection="true" borderId="33" fillId="7" fontId="5" numFmtId="170" xfId="0">
      <alignment horizontal="center" indent="0" shrinkToFit="false" textRotation="0" vertical="center" wrapText="false"/>
      <protection hidden="false" locked="true"/>
    </xf>
    <xf applyAlignment="true" applyBorder="true" applyFont="true" applyProtection="true" borderId="9" fillId="7" fontId="5" numFmtId="170" xfId="0">
      <alignment horizontal="center" indent="0" shrinkToFit="false" textRotation="0" vertical="center" wrapText="false"/>
      <protection hidden="false" locked="true"/>
    </xf>
    <xf applyAlignment="true" applyBorder="true" applyFont="true" applyProtection="true" borderId="33" fillId="10" fontId="5" numFmtId="164" xfId="0">
      <alignment horizontal="center" indent="0" shrinkToFit="false" textRotation="0" vertical="center" wrapText="false"/>
      <protection hidden="false" locked="true"/>
    </xf>
    <xf applyAlignment="true" applyBorder="true" applyFont="true" applyProtection="true" borderId="87" fillId="10" fontId="5" numFmtId="164" xfId="0">
      <alignment horizontal="center" indent="0" shrinkToFit="false" textRotation="0" vertical="center" wrapText="false"/>
      <protection hidden="false" locked="true"/>
    </xf>
    <xf applyAlignment="true" applyBorder="true" applyFont="true" applyProtection="true" borderId="29" fillId="10" fontId="5" numFmtId="164" xfId="0">
      <alignment horizontal="center" indent="0" shrinkToFit="false" textRotation="0" vertical="center" wrapText="false"/>
      <protection hidden="false" locked="true"/>
    </xf>
    <xf applyAlignment="true" applyBorder="true" applyFont="true" applyProtection="true" borderId="10" fillId="10" fontId="5" numFmtId="164" xfId="0">
      <alignment horizontal="center" indent="0" shrinkToFit="false" textRotation="0" vertical="center" wrapText="false"/>
      <protection hidden="false" locked="true"/>
    </xf>
    <xf applyAlignment="true" applyBorder="true" applyFont="true" applyProtection="true" borderId="88" fillId="10" fontId="5" numFmtId="164" xfId="0">
      <alignment horizontal="center" indent="0" shrinkToFit="false" textRotation="0" vertical="center" wrapText="false"/>
      <protection hidden="false" locked="true"/>
    </xf>
    <xf applyAlignment="true" applyBorder="true" applyFont="true" applyProtection="true" borderId="89" fillId="10" fontId="5" numFmtId="164" xfId="0">
      <alignment horizontal="center" indent="0" shrinkToFit="false" textRotation="0" vertical="center" wrapText="false"/>
      <protection hidden="false" locked="true"/>
    </xf>
    <xf applyAlignment="true" applyBorder="true" applyFont="true" applyProtection="true" borderId="9" fillId="10" fontId="5" numFmtId="164" xfId="0">
      <alignment horizontal="center" indent="0" shrinkToFit="false" textRotation="0" vertical="center" wrapText="false"/>
      <protection hidden="false" locked="true"/>
    </xf>
    <xf applyAlignment="true" applyBorder="true" applyFont="true" applyProtection="true" borderId="7" fillId="0" fontId="5" numFmtId="164" xfId="0">
      <alignment horizontal="left" indent="1" shrinkToFit="false" textRotation="0" vertical="center" wrapText="true"/>
      <protection hidden="false" locked="true"/>
    </xf>
    <xf applyAlignment="true" applyBorder="true" applyFont="true" applyProtection="true" borderId="7" fillId="0" fontId="22" numFmtId="164" xfId="0">
      <alignment horizontal="general" indent="0" shrinkToFit="false" textRotation="0" vertical="center" wrapText="false"/>
      <protection hidden="false" locked="true"/>
    </xf>
    <xf applyAlignment="true" applyBorder="true" applyFont="true" applyProtection="true" borderId="33" fillId="0" fontId="5" numFmtId="164" xfId="0">
      <alignment horizontal="center" indent="0" shrinkToFit="false" textRotation="0" vertical="center" wrapText="true"/>
      <protection hidden="false" locked="true"/>
    </xf>
    <xf applyAlignment="false" applyBorder="true" applyFont="true" applyProtection="true" borderId="7" fillId="0" fontId="22" numFmtId="164" xfId="0">
      <protection hidden="false" locked="true"/>
    </xf>
    <xf applyAlignment="true" applyBorder="true" applyFont="true" applyProtection="true" borderId="33" fillId="7" fontId="5" numFmtId="164" xfId="0">
      <alignment horizontal="center" indent="0" shrinkToFit="false" textRotation="0" vertical="center" wrapText="false"/>
      <protection hidden="false" locked="true"/>
    </xf>
    <xf applyAlignment="true" applyBorder="true" applyFont="true" applyProtection="true" borderId="33" fillId="7" fontId="13" numFmtId="164" xfId="0">
      <alignment horizontal="center" indent="0" shrinkToFit="false" textRotation="0" vertical="center" wrapText="true"/>
      <protection hidden="false" locked="true"/>
    </xf>
    <xf applyAlignment="true" applyBorder="true" applyFont="true" applyProtection="true" borderId="87" fillId="7" fontId="13" numFmtId="169" xfId="0">
      <alignment horizontal="center" indent="0" shrinkToFit="false" textRotation="0" vertical="center" wrapText="true"/>
      <protection hidden="false" locked="true"/>
    </xf>
    <xf applyAlignment="true" applyBorder="true" applyFont="true" applyProtection="true" borderId="29" fillId="11" fontId="16" numFmtId="164" xfId="0">
      <alignment horizontal="center" indent="0" shrinkToFit="false" textRotation="0" vertical="center" wrapText="true"/>
      <protection hidden="false" locked="true"/>
    </xf>
    <xf applyAlignment="true" applyBorder="true" applyFont="true" applyProtection="true" borderId="10" fillId="11" fontId="16" numFmtId="164" xfId="0">
      <alignment horizontal="center" indent="0" shrinkToFit="false" textRotation="0" vertical="center" wrapText="true"/>
      <protection hidden="false" locked="true"/>
    </xf>
    <xf applyAlignment="true" applyBorder="true" applyFont="true" applyProtection="true" borderId="33" fillId="11" fontId="16" numFmtId="164" xfId="0">
      <alignment horizontal="center" indent="0" shrinkToFit="false" textRotation="0" vertical="center" wrapText="true"/>
      <protection hidden="false" locked="true"/>
    </xf>
    <xf applyAlignment="true" applyBorder="true" applyFont="true" applyProtection="true" borderId="90" fillId="11" fontId="16" numFmtId="164" xfId="0">
      <alignment horizontal="center" indent="0" shrinkToFit="false" textRotation="0" vertical="center" wrapText="true"/>
      <protection hidden="false" locked="true"/>
    </xf>
    <xf applyAlignment="true" applyBorder="true" applyFont="true" applyProtection="true" borderId="91" fillId="11" fontId="16" numFmtId="164" xfId="0">
      <alignment horizontal="center" indent="0" shrinkToFit="false" textRotation="0" vertical="center" wrapText="true"/>
      <protection hidden="false" locked="true"/>
    </xf>
    <xf applyAlignment="true" applyBorder="true" applyFont="true" applyProtection="true" borderId="7" fillId="11" fontId="5" numFmtId="164" xfId="0">
      <alignment horizontal="left" indent="0" shrinkToFit="false" textRotation="0" vertical="center" wrapText="true"/>
      <protection hidden="false" locked="true"/>
    </xf>
    <xf applyAlignment="true" applyBorder="true" applyFont="true" applyProtection="true" borderId="88" fillId="11" fontId="16" numFmtId="164" xfId="0">
      <alignment horizontal="center" indent="0" shrinkToFit="false" textRotation="0" vertical="center" wrapText="true"/>
      <protection hidden="false" locked="true"/>
    </xf>
    <xf applyAlignment="true" applyBorder="true" applyFont="true" applyProtection="true" borderId="89" fillId="11" fontId="16" numFmtId="164" xfId="0">
      <alignment horizontal="center" indent="0" shrinkToFit="false" textRotation="0" vertical="center" wrapText="true"/>
      <protection hidden="false" locked="true"/>
    </xf>
    <xf applyAlignment="true" applyBorder="true" applyFont="true" applyProtection="true" borderId="9" fillId="11" fontId="16" numFmtId="164" xfId="0">
      <alignment horizontal="center" indent="0" shrinkToFit="false" textRotation="0" vertical="center" wrapText="true"/>
      <protection hidden="false" locked="true"/>
    </xf>
    <xf applyAlignment="true" applyBorder="true" applyFont="true" applyProtection="true" borderId="7" fillId="0" fontId="5" numFmtId="164" xfId="0">
      <alignment horizontal="left" indent="0" shrinkToFit="false" textRotation="0" vertical="center" wrapText="true"/>
      <protection hidden="false" locked="true"/>
    </xf>
    <xf applyAlignment="true" applyBorder="true" applyFont="true" applyProtection="true" borderId="87" fillId="0" fontId="5" numFmtId="164" xfId="0">
      <alignment horizontal="center" indent="0" shrinkToFit="false" textRotation="0" vertical="center" wrapText="false"/>
      <protection hidden="false" locked="true"/>
    </xf>
    <xf applyAlignment="true" applyBorder="true" applyFont="true" applyProtection="true" borderId="29" fillId="0" fontId="5" numFmtId="164" xfId="0">
      <alignment horizontal="center" indent="0" shrinkToFit="false" textRotation="0" vertical="center" wrapText="false"/>
      <protection hidden="false" locked="true"/>
    </xf>
    <xf applyAlignment="true" applyBorder="true" applyFont="true" applyProtection="true" borderId="10" fillId="0" fontId="5" numFmtId="173" xfId="0">
      <alignment horizontal="center" indent="0" shrinkToFit="false" textRotation="0" vertical="center" wrapText="false"/>
      <protection hidden="false" locked="false"/>
    </xf>
    <xf applyAlignment="true" applyBorder="true" applyFont="true" applyProtection="true" borderId="10" fillId="0" fontId="5" numFmtId="165" xfId="0">
      <alignment horizontal="center" indent="0" shrinkToFit="false" textRotation="0" vertical="center" wrapText="false"/>
      <protection hidden="false" locked="true"/>
    </xf>
    <xf applyAlignment="true" applyBorder="true" applyFont="true" applyProtection="true" borderId="10" fillId="0" fontId="5" numFmtId="164" xfId="0">
      <alignment horizontal="center" indent="0" shrinkToFit="false" textRotation="0" vertical="center" wrapText="false"/>
      <protection hidden="false" locked="true"/>
    </xf>
    <xf applyAlignment="true" applyBorder="true" applyFont="true" applyProtection="true" borderId="33" fillId="0" fontId="5" numFmtId="165" xfId="0">
      <alignment horizontal="center" indent="0" shrinkToFit="false" textRotation="0" vertical="center" wrapText="false"/>
      <protection hidden="false" locked="true"/>
    </xf>
    <xf applyAlignment="true" applyBorder="true" applyFont="true" applyProtection="true" borderId="88" fillId="0" fontId="5" numFmtId="164" xfId="0">
      <alignment horizontal="center" indent="0" shrinkToFit="false" textRotation="0" vertical="center" wrapText="false"/>
      <protection hidden="false" locked="true"/>
    </xf>
    <xf applyAlignment="true" applyBorder="true" applyFont="true" applyProtection="true" borderId="10" fillId="0" fontId="5" numFmtId="173" xfId="0">
      <alignment horizontal="center" indent="0" shrinkToFit="false" textRotation="0" vertical="center" wrapText="false"/>
      <protection hidden="false" locked="true"/>
    </xf>
    <xf applyAlignment="true" applyBorder="true" applyFont="true" applyProtection="true" borderId="89" fillId="0" fontId="5" numFmtId="165" xfId="0">
      <alignment horizontal="center" indent="0" shrinkToFit="false" textRotation="0" vertical="center" wrapText="false"/>
      <protection hidden="false" locked="true"/>
    </xf>
    <xf applyAlignment="true" applyBorder="true" applyFont="true" applyProtection="true" borderId="29" fillId="14" fontId="5" numFmtId="164" xfId="0">
      <alignment horizontal="center" indent="0" shrinkToFit="false" textRotation="0" vertical="center" wrapText="false"/>
      <protection hidden="false" locked="true"/>
    </xf>
    <xf applyAlignment="true" applyBorder="true" applyFont="true" applyProtection="true" borderId="10" fillId="14" fontId="5" numFmtId="173" xfId="0">
      <alignment horizontal="center" indent="0" shrinkToFit="false" textRotation="0" vertical="center" wrapText="false"/>
      <protection hidden="false" locked="true"/>
    </xf>
    <xf applyAlignment="true" applyBorder="true" applyFont="true" applyProtection="true" borderId="9" fillId="14" fontId="5" numFmtId="165" xfId="0">
      <alignment horizontal="center" indent="0" shrinkToFit="false" textRotation="0" vertical="center" wrapText="false"/>
      <protection hidden="false" locked="true"/>
    </xf>
    <xf applyAlignment="true" applyBorder="true" applyFont="true" applyProtection="true" borderId="29" fillId="0" fontId="5" numFmtId="170" xfId="0">
      <alignment horizontal="center" indent="0" shrinkToFit="false" textRotation="0" vertical="center" wrapText="false"/>
      <protection hidden="false" locked="true"/>
    </xf>
    <xf applyAlignment="true" applyBorder="true" applyFont="true" applyProtection="true" borderId="7" fillId="0" fontId="5" numFmtId="164" xfId="0">
      <alignment horizontal="left" indent="0" shrinkToFit="false" textRotation="0" vertical="center" wrapText="true"/>
      <protection hidden="false" locked="true"/>
    </xf>
    <xf applyAlignment="true" applyBorder="true" applyFont="true" applyProtection="true" borderId="87" fillId="26" fontId="5" numFmtId="164" xfId="0">
      <alignment horizontal="center" indent="0" shrinkToFit="false" textRotation="0" vertical="center" wrapText="false"/>
      <protection hidden="false" locked="true"/>
    </xf>
    <xf applyAlignment="true" applyBorder="true" applyFont="true" applyProtection="true" borderId="29" fillId="26" fontId="5" numFmtId="173" xfId="0">
      <alignment horizontal="center" indent="0" shrinkToFit="false" textRotation="0" vertical="center" wrapText="false"/>
      <protection hidden="false" locked="true"/>
    </xf>
    <xf applyAlignment="true" applyBorder="true" applyFont="true" applyProtection="true" borderId="10" fillId="26" fontId="5" numFmtId="173" xfId="0">
      <alignment horizontal="general" indent="0" shrinkToFit="false" textRotation="0" vertical="center" wrapText="false"/>
      <protection hidden="false" locked="true"/>
    </xf>
    <xf applyAlignment="true" applyBorder="true" applyFont="true" applyProtection="true" borderId="10" fillId="26" fontId="5" numFmtId="173" xfId="0">
      <alignment horizontal="center" indent="0" shrinkToFit="false" textRotation="0" vertical="center" wrapText="false"/>
      <protection hidden="false" locked="true"/>
    </xf>
    <xf applyAlignment="true" applyBorder="true" applyFont="true" applyProtection="true" borderId="33" fillId="26" fontId="5" numFmtId="173" xfId="0">
      <alignment horizontal="general" indent="0" shrinkToFit="false" textRotation="0" vertical="center" wrapText="false"/>
      <protection hidden="false" locked="true"/>
    </xf>
    <xf applyAlignment="true" applyBorder="true" applyFont="true" applyProtection="true" borderId="88" fillId="26" fontId="5" numFmtId="173" xfId="0">
      <alignment horizontal="center" indent="0" shrinkToFit="false" textRotation="0" vertical="center" wrapText="false"/>
      <protection hidden="false" locked="true"/>
    </xf>
    <xf applyAlignment="true" applyBorder="true" applyFont="true" applyProtection="true" borderId="89" fillId="26" fontId="5" numFmtId="173" xfId="0">
      <alignment horizontal="general" indent="0" shrinkToFit="false" textRotation="0" vertical="center" wrapText="false"/>
      <protection hidden="false" locked="true"/>
    </xf>
    <xf applyAlignment="true" applyBorder="true" applyFont="true" applyProtection="true" borderId="9" fillId="26" fontId="5" numFmtId="173" xfId="0">
      <alignment horizontal="general" indent="0" shrinkToFit="false" textRotation="0" vertical="center" wrapText="false"/>
      <protection hidden="false" locked="true"/>
    </xf>
    <xf applyAlignment="true" applyBorder="true" applyFont="true" applyProtection="true" borderId="87" fillId="0" fontId="5" numFmtId="165" xfId="0">
      <alignment horizontal="center" indent="0" shrinkToFit="false" textRotation="0" vertical="center" wrapText="false"/>
      <protection hidden="false" locked="true"/>
    </xf>
    <xf applyAlignment="true" applyBorder="true" applyFont="true" applyProtection="true" borderId="29" fillId="0" fontId="5" numFmtId="165" xfId="0">
      <alignment horizontal="center" indent="0" shrinkToFit="false" textRotation="0" vertical="center" wrapText="false"/>
      <protection hidden="false" locked="true"/>
    </xf>
    <xf applyAlignment="true" applyBorder="true" applyFont="true" applyProtection="true" borderId="10" fillId="2" fontId="64" numFmtId="165" xfId="0">
      <alignment horizontal="center" indent="0" shrinkToFit="false" textRotation="0" vertical="center" wrapText="false"/>
      <protection hidden="false" locked="true"/>
    </xf>
    <xf applyAlignment="true" applyBorder="true" applyFont="true" applyProtection="true" borderId="88" fillId="0" fontId="5" numFmtId="165" xfId="0">
      <alignment horizontal="center" indent="0" shrinkToFit="false" textRotation="0" vertical="center" wrapText="false"/>
      <protection hidden="false" locked="true"/>
    </xf>
    <xf applyAlignment="true" applyBorder="true" applyFont="true" applyProtection="true" borderId="9" fillId="0" fontId="5" numFmtId="165" xfId="0">
      <alignment horizontal="center" indent="0" shrinkToFit="false" textRotation="0" vertical="center" wrapText="false"/>
      <protection hidden="false" locked="true"/>
    </xf>
    <xf applyAlignment="true" applyBorder="true" applyFont="true" applyProtection="true" borderId="10" fillId="0" fontId="5" numFmtId="164" xfId="17">
      <alignment horizontal="center" indent="0" shrinkToFit="false" textRotation="0" vertical="center" wrapText="false"/>
      <protection hidden="false" locked="true"/>
    </xf>
    <xf applyAlignment="true" applyBorder="true" applyFont="true" applyProtection="true" borderId="10" fillId="0" fontId="5" numFmtId="165" xfId="0">
      <alignment horizontal="center" indent="0" shrinkToFit="false" textRotation="0" vertical="center" wrapText="false"/>
      <protection hidden="false" locked="false"/>
    </xf>
    <xf applyAlignment="true" applyBorder="true" applyFont="true" applyProtection="true" borderId="29" fillId="14" fontId="5" numFmtId="165" xfId="0">
      <alignment horizontal="center" indent="0" shrinkToFit="false" textRotation="0" vertical="center" wrapText="false"/>
      <protection hidden="false" locked="true"/>
    </xf>
    <xf applyAlignment="true" applyBorder="true" applyFont="true" applyProtection="true" borderId="10" fillId="14" fontId="5" numFmtId="165" xfId="0">
      <alignment horizontal="center" indent="0" shrinkToFit="false" textRotation="0" vertical="center" wrapText="false"/>
      <protection hidden="false" locked="true"/>
    </xf>
    <xf applyAlignment="true" applyBorder="true" applyFont="true" applyProtection="true" borderId="33" fillId="26" fontId="5" numFmtId="164" xfId="0">
      <alignment horizontal="general" indent="0" shrinkToFit="false" textRotation="0" vertical="center" wrapText="false"/>
      <protection hidden="false" locked="true"/>
    </xf>
    <xf applyAlignment="true" applyBorder="true" applyFont="true" applyProtection="true" borderId="7" fillId="14" fontId="5" numFmtId="164" xfId="0">
      <alignment horizontal="left" indent="1" shrinkToFit="false" textRotation="0" vertical="center" wrapText="true"/>
      <protection hidden="false" locked="true"/>
    </xf>
    <xf applyAlignment="true" applyBorder="true" applyFont="true" applyProtection="true" borderId="7" fillId="0" fontId="5" numFmtId="164" xfId="0">
      <alignment horizontal="left" indent="2" shrinkToFit="false" textRotation="0" vertical="center" wrapText="true"/>
      <protection hidden="false" locked="true"/>
    </xf>
    <xf applyAlignment="true" applyBorder="true" applyFont="true" applyProtection="true" borderId="33" fillId="0" fontId="5" numFmtId="164" xfId="0">
      <alignment horizontal="center" indent="0" shrinkToFit="false" textRotation="0" vertical="center" wrapText="false"/>
      <protection hidden="false" locked="false"/>
    </xf>
    <xf applyAlignment="true" applyBorder="true" applyFont="true" applyProtection="true" borderId="87" fillId="0" fontId="5" numFmtId="178" xfId="0">
      <alignment horizontal="center" indent="0" shrinkToFit="false" textRotation="0" vertical="center" wrapText="false"/>
      <protection hidden="false" locked="false"/>
    </xf>
    <xf applyAlignment="false" applyBorder="true" applyFont="true" applyProtection="true" borderId="10" fillId="0" fontId="22" numFmtId="179" xfId="0">
      <protection hidden="false" locked="true"/>
    </xf>
    <xf applyAlignment="true" applyBorder="true" applyFont="true" applyProtection="true" borderId="10" fillId="0" fontId="22" numFmtId="180" xfId="0">
      <alignment horizontal="right" indent="0" shrinkToFit="false" textRotation="0" vertical="center" wrapText="false"/>
      <protection hidden="false" locked="false"/>
    </xf>
    <xf applyAlignment="true" applyBorder="true" applyFont="true" applyProtection="true" borderId="10" fillId="2" fontId="52" numFmtId="171" xfId="0">
      <alignment horizontal="center" indent="0" shrinkToFit="false" textRotation="0" vertical="center" wrapText="false"/>
      <protection hidden="false" locked="true"/>
    </xf>
    <xf applyAlignment="true" applyBorder="true" applyFont="true" applyProtection="true" borderId="10" fillId="0" fontId="22" numFmtId="180" xfId="0">
      <alignment horizontal="center" indent="0" shrinkToFit="false" textRotation="0" vertical="center" wrapText="false"/>
      <protection hidden="false" locked="false"/>
    </xf>
    <xf applyAlignment="true" applyBorder="true" applyFont="true" applyProtection="true" borderId="33" fillId="2" fontId="52" numFmtId="171" xfId="0">
      <alignment horizontal="center" indent="0" shrinkToFit="false" textRotation="0" vertical="center" wrapText="false"/>
      <protection hidden="false" locked="true"/>
    </xf>
    <xf applyAlignment="true" applyBorder="true" applyFont="true" applyProtection="true" borderId="88" fillId="7" fontId="16" numFmtId="180" xfId="0">
      <alignment horizontal="center" indent="0" shrinkToFit="false" textRotation="0" vertical="center" wrapText="false"/>
      <protection hidden="false" locked="true"/>
    </xf>
    <xf applyAlignment="true" applyBorder="true" applyFont="true" applyProtection="true" borderId="10" fillId="7" fontId="16" numFmtId="180" xfId="0">
      <alignment horizontal="center" indent="0" shrinkToFit="false" textRotation="0" vertical="center" wrapText="false"/>
      <protection hidden="false" locked="true"/>
    </xf>
    <xf applyAlignment="true" applyBorder="true" applyFont="true" applyProtection="true" borderId="89" fillId="2" fontId="56" numFmtId="171" xfId="0">
      <alignment horizontal="center" indent="0" shrinkToFit="false" textRotation="0" vertical="center" wrapText="false"/>
      <protection hidden="false" locked="true"/>
    </xf>
    <xf applyAlignment="true" applyBorder="true" applyFont="true" applyProtection="true" borderId="10" fillId="0" fontId="52" numFmtId="180" xfId="0">
      <alignment horizontal="center" indent="0" shrinkToFit="false" textRotation="0" vertical="center" wrapText="false"/>
      <protection hidden="false" locked="false"/>
    </xf>
    <xf applyAlignment="true" applyBorder="true" applyFont="true" applyProtection="true" borderId="10" fillId="7" fontId="56" numFmtId="180" xfId="0">
      <alignment horizontal="center" indent="0" shrinkToFit="false" textRotation="0" vertical="center" wrapText="false"/>
      <protection hidden="false" locked="true"/>
    </xf>
    <xf applyAlignment="true" applyBorder="true" applyFont="true" applyProtection="true" borderId="29" fillId="21" fontId="16" numFmtId="180" xfId="0">
      <alignment horizontal="center" indent="0" shrinkToFit="false" textRotation="0" vertical="center" wrapText="false"/>
      <protection hidden="false" locked="true"/>
    </xf>
    <xf applyAlignment="true" applyBorder="true" applyFont="true" applyProtection="true" borderId="10" fillId="21" fontId="16" numFmtId="180" xfId="0">
      <alignment horizontal="center" indent="0" shrinkToFit="false" textRotation="0" vertical="center" wrapText="false"/>
      <protection hidden="false" locked="true"/>
    </xf>
    <xf applyAlignment="true" applyBorder="true" applyFont="true" applyProtection="true" borderId="9" fillId="2" fontId="56" numFmtId="171" xfId="0">
      <alignment horizontal="center" indent="0" shrinkToFit="false" textRotation="0" vertical="center" wrapText="false"/>
      <protection hidden="false" locked="true"/>
    </xf>
    <xf applyAlignment="true" applyBorder="true" applyFont="true" applyProtection="true" borderId="29" fillId="0" fontId="22" numFmtId="179" xfId="17">
      <alignment horizontal="center" indent="0" shrinkToFit="false" textRotation="0" vertical="center" wrapText="false"/>
      <protection hidden="false" locked="false"/>
    </xf>
    <xf applyAlignment="true" applyBorder="true" applyFont="true" applyProtection="true" borderId="10" fillId="0" fontId="22" numFmtId="179" xfId="17">
      <alignment horizontal="general" indent="0" shrinkToFit="false" textRotation="0" vertical="bottom" wrapText="false"/>
      <protection hidden="false" locked="true"/>
    </xf>
    <xf applyAlignment="true" applyBorder="true" applyFont="true" applyProtection="true" borderId="11" fillId="0" fontId="5" numFmtId="164" xfId="0">
      <alignment horizontal="left" indent="2" shrinkToFit="false" textRotation="0" vertical="center" wrapText="true"/>
      <protection hidden="false" locked="true"/>
    </xf>
    <xf applyAlignment="true" applyBorder="true" applyFont="true" applyProtection="true" borderId="81" fillId="0" fontId="5" numFmtId="164" xfId="0">
      <alignment horizontal="center" indent="0" shrinkToFit="false" textRotation="0" vertical="center" wrapText="false"/>
      <protection hidden="false" locked="false"/>
    </xf>
    <xf applyAlignment="true" applyBorder="true" applyFont="true" applyProtection="true" borderId="92" fillId="0" fontId="5" numFmtId="178" xfId="0">
      <alignment horizontal="center" indent="0" shrinkToFit="false" textRotation="0" vertical="center" wrapText="false"/>
      <protection hidden="false" locked="true"/>
    </xf>
    <xf applyAlignment="true" applyBorder="true" applyFont="true" applyProtection="true" borderId="30" fillId="0" fontId="22" numFmtId="179" xfId="17">
      <alignment horizontal="center" indent="0" shrinkToFit="false" textRotation="0" vertical="center" wrapText="false"/>
      <protection hidden="false" locked="true"/>
    </xf>
    <xf applyAlignment="true" applyBorder="true" applyFont="true" applyProtection="true" borderId="12" fillId="0" fontId="22" numFmtId="180" xfId="0">
      <alignment horizontal="right" indent="0" shrinkToFit="false" textRotation="0" vertical="center" wrapText="false"/>
      <protection hidden="false" locked="true"/>
    </xf>
    <xf applyAlignment="true" applyBorder="true" applyFont="true" applyProtection="true" borderId="12" fillId="2" fontId="52" numFmtId="171" xfId="0">
      <alignment horizontal="center" indent="0" shrinkToFit="false" textRotation="0" vertical="center" wrapText="false"/>
      <protection hidden="false" locked="true"/>
    </xf>
    <xf applyAlignment="true" applyBorder="true" applyFont="true" applyProtection="true" borderId="12" fillId="0" fontId="22" numFmtId="180" xfId="0">
      <alignment horizontal="center" indent="0" shrinkToFit="false" textRotation="0" vertical="center" wrapText="false"/>
      <protection hidden="false" locked="true"/>
    </xf>
    <xf applyAlignment="true" applyBorder="true" applyFont="true" applyProtection="true" borderId="81" fillId="2" fontId="52" numFmtId="171" xfId="0">
      <alignment horizontal="center" indent="0" shrinkToFit="false" textRotation="0" vertical="center" wrapText="false"/>
      <protection hidden="false" locked="true"/>
    </xf>
    <xf applyAlignment="true" applyBorder="true" applyFont="true" applyProtection="true" borderId="82" fillId="7" fontId="16" numFmtId="180" xfId="0">
      <alignment horizontal="center" indent="0" shrinkToFit="false" textRotation="0" vertical="center" wrapText="false"/>
      <protection hidden="false" locked="true"/>
    </xf>
    <xf applyAlignment="true" applyBorder="true" applyFont="true" applyProtection="true" borderId="12" fillId="7" fontId="16" numFmtId="180" xfId="0">
      <alignment horizontal="center" indent="0" shrinkToFit="false" textRotation="0" vertical="center" wrapText="false"/>
      <protection hidden="false" locked="true"/>
    </xf>
    <xf applyAlignment="true" applyBorder="true" applyFont="true" applyProtection="true" borderId="83" fillId="2" fontId="56" numFmtId="171" xfId="0">
      <alignment horizontal="center" indent="0" shrinkToFit="false" textRotation="0" vertical="center" wrapText="false"/>
      <protection hidden="false" locked="true"/>
    </xf>
    <xf applyAlignment="true" applyBorder="true" applyFont="true" applyProtection="true" borderId="12" fillId="0" fontId="52" numFmtId="180" xfId="0">
      <alignment horizontal="center" indent="0" shrinkToFit="false" textRotation="0" vertical="center" wrapText="false"/>
      <protection hidden="false" locked="true"/>
    </xf>
    <xf applyAlignment="true" applyBorder="true" applyFont="true" applyProtection="true" borderId="12" fillId="7" fontId="56" numFmtId="180" xfId="0">
      <alignment horizontal="center" indent="0" shrinkToFit="false" textRotation="0" vertical="center" wrapText="false"/>
      <protection hidden="false" locked="true"/>
    </xf>
    <xf applyAlignment="true" applyBorder="true" applyFont="true" applyProtection="true" borderId="30" fillId="21" fontId="16" numFmtId="180" xfId="0">
      <alignment horizontal="center" indent="0" shrinkToFit="false" textRotation="0" vertical="center" wrapText="false"/>
      <protection hidden="false" locked="true"/>
    </xf>
    <xf applyAlignment="true" applyBorder="true" applyFont="true" applyProtection="true" borderId="12" fillId="21" fontId="16" numFmtId="180" xfId="0">
      <alignment horizontal="center" indent="0" shrinkToFit="false" textRotation="0" vertical="center" wrapText="false"/>
      <protection hidden="false" locked="true"/>
    </xf>
    <xf applyAlignment="true" applyBorder="true" applyFont="true" applyProtection="true" borderId="19" fillId="2" fontId="56" numFmtId="171" xfId="0">
      <alignment horizontal="center" indent="0" shrinkToFit="false" textRotation="0" vertical="center" wrapText="false"/>
      <protection hidden="false" locked="true"/>
    </xf>
    <xf applyAlignment="true" applyBorder="false" applyFont="false" applyProtection="false" borderId="0" fillId="0" fontId="5" numFmtId="164" xfId="22">
      <alignment horizontal="general" indent="0" shrinkToFit="false" textRotation="0" vertical="center" wrapText="true"/>
    </xf>
    <xf applyAlignment="true" applyBorder="true" applyFont="true" applyProtection="false" borderId="0" fillId="0" fontId="10" numFmtId="164" xfId="22">
      <alignment horizontal="center" indent="0" shrinkToFit="false" textRotation="0" vertical="center" wrapText="true"/>
    </xf>
    <xf applyAlignment="true" applyBorder="false" applyFont="false" applyProtection="false" borderId="0" fillId="0" fontId="5" numFmtId="164" xfId="22">
      <alignment horizontal="justify" indent="0" shrinkToFit="false" textRotation="0" vertical="center" wrapText="true"/>
    </xf>
    <xf applyAlignment="true" applyBorder="false" applyFont="true" applyProtection="false" borderId="0" fillId="0" fontId="65" numFmtId="164" xfId="22">
      <alignment horizontal="justify" indent="0" shrinkToFit="false" textRotation="0" vertical="center" wrapText="true"/>
    </xf>
    <xf applyAlignment="true" applyBorder="false" applyFont="true" applyProtection="false" borderId="0" fillId="0" fontId="65" numFmtId="164" xfId="22">
      <alignment horizontal="center" indent="0" shrinkToFit="false" textRotation="0" vertical="center" wrapText="true"/>
    </xf>
    <xf applyAlignment="true" applyBorder="false" applyFont="true" applyProtection="false" borderId="0" fillId="0" fontId="10" numFmtId="164" xfId="22">
      <alignment horizontal="center" indent="0" shrinkToFit="false" textRotation="0" vertical="center" wrapText="true"/>
    </xf>
    <xf applyAlignment="true" applyBorder="true" applyFont="true" applyProtection="false" borderId="13" fillId="5" fontId="66" numFmtId="164" xfId="22">
      <alignment horizontal="center" indent="0" shrinkToFit="false" textRotation="0" vertical="center" wrapText="false"/>
    </xf>
    <xf applyAlignment="true" applyBorder="true" applyFont="true" applyProtection="false" borderId="27" fillId="5" fontId="66" numFmtId="164" xfId="22">
      <alignment horizontal="center" indent="0" shrinkToFit="false" textRotation="0" vertical="center" wrapText="false"/>
    </xf>
    <xf applyAlignment="true" applyBorder="true" applyFont="true" applyProtection="false" borderId="27" fillId="5" fontId="66" numFmtId="164" xfId="22">
      <alignment horizontal="center" indent="0" shrinkToFit="false" textRotation="0" vertical="center" wrapText="true"/>
    </xf>
    <xf applyAlignment="true" applyBorder="true" applyFont="true" applyProtection="true" borderId="27" fillId="5" fontId="66" numFmtId="164" xfId="22">
      <alignment horizontal="center" indent="0" shrinkToFit="false" textRotation="0" vertical="center" wrapText="true"/>
      <protection hidden="false" locked="true"/>
    </xf>
    <xf applyAlignment="true" applyBorder="true" applyFont="true" applyProtection="false" borderId="8" fillId="5" fontId="66" numFmtId="164" xfId="22">
      <alignment horizontal="center" indent="0" shrinkToFit="false" textRotation="0" vertical="center" wrapText="true"/>
    </xf>
    <xf applyAlignment="true" applyBorder="true" applyFont="true" applyProtection="false" borderId="10" fillId="5" fontId="26" numFmtId="164" xfId="22">
      <alignment horizontal="center" indent="0" shrinkToFit="false" textRotation="0" vertical="center" wrapText="true"/>
    </xf>
    <xf applyAlignment="true" applyBorder="true" applyFont="true" applyProtection="true" borderId="10" fillId="5" fontId="66" numFmtId="164" xfId="22">
      <alignment horizontal="center" indent="0" shrinkToFit="false" textRotation="0" vertical="center" wrapText="true"/>
      <protection hidden="false" locked="true"/>
    </xf>
    <xf applyAlignment="true" applyBorder="true" applyFont="true" applyProtection="false" borderId="7" fillId="2" fontId="66" numFmtId="164" xfId="22">
      <alignment horizontal="center" indent="0" shrinkToFit="false" textRotation="0" vertical="center" wrapText="true"/>
    </xf>
    <xf applyAlignment="true" applyBorder="true" applyFont="true" applyProtection="true" borderId="10" fillId="2" fontId="66" numFmtId="164" xfId="22">
      <alignment horizontal="left" indent="0" shrinkToFit="false" textRotation="0" vertical="center" wrapText="true"/>
      <protection hidden="false" locked="false"/>
    </xf>
    <xf applyAlignment="true" applyBorder="true" applyFont="true" applyProtection="true" borderId="10" fillId="2" fontId="26" numFmtId="164" xfId="22">
      <alignment horizontal="general" indent="0" shrinkToFit="false" textRotation="0" vertical="center" wrapText="true"/>
      <protection hidden="false" locked="false"/>
    </xf>
    <xf applyAlignment="true" applyBorder="true" applyFont="true" applyProtection="false" borderId="10" fillId="2" fontId="26" numFmtId="164" xfId="22">
      <alignment horizontal="general" indent="0" shrinkToFit="false" textRotation="0" vertical="center" wrapText="true"/>
    </xf>
    <xf applyAlignment="true" applyBorder="true" applyFont="true" applyProtection="true" borderId="9" fillId="2" fontId="67" numFmtId="164" xfId="22">
      <alignment horizontal="general" indent="0" shrinkToFit="false" textRotation="0" vertical="center" wrapText="true"/>
      <protection hidden="false" locked="false"/>
    </xf>
    <xf applyAlignment="true" applyBorder="false" applyFont="false" applyProtection="false" borderId="0" fillId="0" fontId="5" numFmtId="164" xfId="22">
      <alignment horizontal="general" indent="0" shrinkToFit="false" textRotation="0" vertical="center" wrapText="true"/>
    </xf>
    <xf applyAlignment="true" applyBorder="true" applyFont="true" applyProtection="false" borderId="7" fillId="10" fontId="66" numFmtId="164" xfId="22">
      <alignment horizontal="center" indent="0" shrinkToFit="false" textRotation="0" vertical="center" wrapText="true"/>
    </xf>
    <xf applyAlignment="true" applyBorder="true" applyFont="true" applyProtection="true" borderId="10" fillId="10" fontId="66" numFmtId="164" xfId="22">
      <alignment horizontal="left" indent="0" shrinkToFit="false" textRotation="0" vertical="center" wrapText="true"/>
      <protection hidden="false" locked="false"/>
    </xf>
    <xf applyAlignment="true" applyBorder="true" applyFont="true" applyProtection="true" borderId="10" fillId="10" fontId="26" numFmtId="164" xfId="22">
      <alignment horizontal="left" indent="0" shrinkToFit="false" textRotation="0" vertical="center" wrapText="true"/>
      <protection hidden="false" locked="false"/>
    </xf>
    <xf applyAlignment="true" applyBorder="true" applyFont="true" applyProtection="true" borderId="10" fillId="10" fontId="66" numFmtId="164" xfId="22">
      <alignment horizontal="center" indent="0" shrinkToFit="false" textRotation="0" vertical="center" wrapText="true"/>
      <protection hidden="false" locked="false"/>
    </xf>
    <xf applyAlignment="true" applyBorder="true" applyFont="true" applyProtection="true" borderId="10" fillId="10" fontId="66" numFmtId="165" xfId="26">
      <alignment horizontal="center" indent="0" shrinkToFit="false" textRotation="0" vertical="center" wrapText="true"/>
      <protection hidden="false" locked="true"/>
    </xf>
    <xf applyAlignment="true" applyBorder="true" applyFont="true" applyProtection="true" borderId="10" fillId="10" fontId="66" numFmtId="164" xfId="22">
      <alignment horizontal="general" indent="0" shrinkToFit="false" textRotation="0" vertical="center" wrapText="true"/>
      <protection hidden="false" locked="false"/>
    </xf>
    <xf applyAlignment="true" applyBorder="true" applyFont="true" applyProtection="true" borderId="9" fillId="10" fontId="66" numFmtId="164" xfId="22">
      <alignment horizontal="general" indent="0" shrinkToFit="false" textRotation="0" vertical="center" wrapText="true"/>
      <protection hidden="false" locked="false"/>
    </xf>
    <xf applyAlignment="true" applyBorder="true" applyFont="true" applyProtection="false" borderId="7" fillId="22" fontId="26" numFmtId="164" xfId="22">
      <alignment horizontal="center" indent="0" shrinkToFit="false" textRotation="0" vertical="center" wrapText="false"/>
    </xf>
    <xf applyAlignment="true" applyBorder="true" applyFont="true" applyProtection="true" borderId="10" fillId="22" fontId="26" numFmtId="164" xfId="22">
      <alignment horizontal="general" indent="0" shrinkToFit="false" textRotation="0" vertical="center" wrapText="true"/>
      <protection hidden="false" locked="false"/>
    </xf>
    <xf applyAlignment="true" applyBorder="true" applyFont="true" applyProtection="true" borderId="10" fillId="22" fontId="26" numFmtId="165" xfId="22">
      <alignment horizontal="general" indent="0" shrinkToFit="false" textRotation="0" vertical="center" wrapText="true"/>
      <protection hidden="false" locked="false"/>
    </xf>
    <xf applyAlignment="true" applyBorder="true" applyFont="true" applyProtection="true" borderId="10" fillId="22" fontId="26" numFmtId="164" xfId="22">
      <alignment horizontal="center" indent="0" shrinkToFit="false" textRotation="0" vertical="center" wrapText="true"/>
      <protection hidden="false" locked="false"/>
    </xf>
    <xf applyAlignment="true" applyBorder="true" applyFont="true" applyProtection="true" borderId="10" fillId="22" fontId="66" numFmtId="164" xfId="22">
      <alignment horizontal="center" indent="0" shrinkToFit="false" textRotation="0" vertical="center" wrapText="true"/>
      <protection hidden="false" locked="false"/>
    </xf>
    <xf applyAlignment="true" applyBorder="true" applyFont="true" applyProtection="true" borderId="10" fillId="0" fontId="66" numFmtId="165" xfId="26">
      <alignment horizontal="center" indent="0" shrinkToFit="false" textRotation="0" vertical="center" wrapText="true"/>
      <protection hidden="false" locked="true"/>
    </xf>
    <xf applyAlignment="true" applyBorder="true" applyFont="true" applyProtection="true" borderId="9" fillId="22" fontId="66" numFmtId="164" xfId="22">
      <alignment horizontal="center" indent="0" shrinkToFit="false" textRotation="0" vertical="center" wrapText="true"/>
      <protection hidden="false" locked="false"/>
    </xf>
    <xf applyAlignment="true" applyBorder="true" applyFont="true" applyProtection="true" borderId="10" fillId="22" fontId="26" numFmtId="164" xfId="22">
      <alignment horizontal="left" indent="0" shrinkToFit="false" textRotation="0" vertical="center" wrapText="true"/>
      <protection hidden="false" locked="false"/>
    </xf>
    <xf applyAlignment="true" applyBorder="true" applyFont="true" applyProtection="true" borderId="10" fillId="22" fontId="66" numFmtId="165" xfId="22">
      <alignment horizontal="center" indent="0" shrinkToFit="false" textRotation="0" vertical="center" wrapText="true"/>
      <protection hidden="false" locked="false"/>
    </xf>
    <xf applyAlignment="true" applyBorder="true" applyFont="true" applyProtection="true" borderId="9" fillId="10" fontId="66" numFmtId="164" xfId="22">
      <alignment horizontal="center" indent="0" shrinkToFit="false" textRotation="0" vertical="center" wrapText="true"/>
      <protection hidden="false" locked="false"/>
    </xf>
    <xf applyAlignment="true" applyBorder="true" applyFont="true" applyProtection="true" borderId="10" fillId="2" fontId="67" numFmtId="164" xfId="22">
      <alignment horizontal="general" indent="0" shrinkToFit="false" textRotation="0" vertical="center" wrapText="true"/>
      <protection hidden="false" locked="false"/>
    </xf>
    <xf applyAlignment="true" applyBorder="true" applyFont="true" applyProtection="true" borderId="10" fillId="2" fontId="66" numFmtId="165" xfId="26">
      <alignment horizontal="center" indent="0" shrinkToFit="false" textRotation="0" vertical="center" wrapText="true"/>
      <protection hidden="false" locked="true"/>
    </xf>
    <xf applyAlignment="true" applyBorder="true" applyFont="true" applyProtection="true" borderId="10" fillId="10" fontId="67" numFmtId="164" xfId="22">
      <alignment horizontal="general" indent="0" shrinkToFit="false" textRotation="0" vertical="center" wrapText="true"/>
      <protection hidden="false" locked="false"/>
    </xf>
    <xf applyAlignment="true" applyBorder="true" applyFont="true" applyProtection="true" borderId="9" fillId="10" fontId="67" numFmtId="164" xfId="22">
      <alignment horizontal="general" indent="0" shrinkToFit="false" textRotation="0" vertical="center" wrapText="true"/>
      <protection hidden="false" locked="false"/>
    </xf>
    <xf applyAlignment="true" applyBorder="true" applyFont="true" applyProtection="false" borderId="7" fillId="22" fontId="66" numFmtId="164" xfId="22">
      <alignment horizontal="center" indent="0" shrinkToFit="false" textRotation="0" vertical="center" wrapText="false"/>
    </xf>
    <xf applyAlignment="true" applyBorder="true" applyFont="true" applyProtection="false" borderId="93" fillId="10" fontId="66" numFmtId="164" xfId="22">
      <alignment horizontal="center" indent="0" shrinkToFit="false" textRotation="0" vertical="center" wrapText="true"/>
    </xf>
    <xf applyAlignment="true" applyBorder="true" applyFont="true" applyProtection="false" borderId="11" fillId="22" fontId="66" numFmtId="164" xfId="22">
      <alignment horizontal="center" indent="0" shrinkToFit="false" textRotation="0" vertical="center" wrapText="false"/>
    </xf>
    <xf applyAlignment="true" applyBorder="true" applyFont="true" applyProtection="true" borderId="12" fillId="22" fontId="66" numFmtId="164" xfId="22">
      <alignment horizontal="general" indent="0" shrinkToFit="false" textRotation="0" vertical="center" wrapText="true"/>
      <protection hidden="false" locked="false"/>
    </xf>
    <xf applyAlignment="true" applyBorder="true" applyFont="true" applyProtection="true" borderId="12" fillId="22" fontId="66" numFmtId="164" xfId="22">
      <alignment horizontal="center" indent="0" shrinkToFit="false" textRotation="0" vertical="center" wrapText="true"/>
      <protection hidden="false" locked="false"/>
    </xf>
    <xf applyAlignment="true" applyBorder="true" applyFont="true" applyProtection="true" borderId="12" fillId="0" fontId="66" numFmtId="165" xfId="26">
      <alignment horizontal="center" indent="0" shrinkToFit="false" textRotation="0" vertical="center" wrapText="true"/>
      <protection hidden="false" locked="true"/>
    </xf>
    <xf applyAlignment="true" applyBorder="true" applyFont="true" applyProtection="true" borderId="19" fillId="22" fontId="66" numFmtId="164" xfId="22">
      <alignment horizontal="center" indent="0" shrinkToFit="false" textRotation="0" vertical="center" wrapText="true"/>
      <protection hidden="false" locked="false"/>
    </xf>
    <xf applyAlignment="true" applyBorder="true" applyFont="true" applyProtection="true" borderId="0" fillId="0" fontId="68" numFmtId="164" xfId="0">
      <alignment horizontal="center" indent="0" shrinkToFit="false" textRotation="0" vertical="center" wrapText="true"/>
      <protection hidden="false" locked="true"/>
    </xf>
    <xf applyAlignment="true" applyBorder="false" applyFont="true" applyProtection="true" borderId="0" fillId="0" fontId="68" numFmtId="164" xfId="0">
      <alignment horizontal="center" indent="0" shrinkToFit="false" textRotation="0" vertical="center" wrapText="false"/>
      <protection hidden="false" locked="true"/>
    </xf>
    <xf applyAlignment="true" applyBorder="true" applyFont="true" applyProtection="true" borderId="0" fillId="0" fontId="69" numFmtId="164" xfId="0">
      <alignment horizontal="center" indent="0" shrinkToFit="false" textRotation="0" vertical="center" wrapText="true"/>
      <protection hidden="false" locked="true"/>
    </xf>
    <xf applyAlignment="true" applyBorder="false" applyFont="true" applyProtection="true" borderId="0" fillId="0" fontId="70" numFmtId="164" xfId="0">
      <alignment horizontal="center" indent="0" shrinkToFit="false" textRotation="0" vertical="center" wrapText="false"/>
      <protection hidden="false" locked="true"/>
    </xf>
    <xf applyAlignment="true" applyBorder="true" applyFont="true" applyProtection="true" borderId="0" fillId="0" fontId="28" numFmtId="164" xfId="0">
      <alignment horizontal="center" indent="0" shrinkToFit="false" textRotation="0" vertical="center" wrapText="true"/>
      <protection hidden="false" locked="true"/>
    </xf>
    <xf applyAlignment="true" applyBorder="false" applyFont="true" applyProtection="true" borderId="0" fillId="0" fontId="71" numFmtId="164" xfId="0">
      <alignment horizontal="center" indent="0" shrinkToFit="false" textRotation="0" vertical="center" wrapText="false"/>
      <protection hidden="false" locked="true"/>
    </xf>
    <xf applyAlignment="true" applyBorder="true" applyFont="true" applyProtection="false" borderId="13" fillId="0" fontId="44" numFmtId="164" xfId="0">
      <alignment horizontal="center" indent="0" shrinkToFit="false" textRotation="0" vertical="center" wrapText="true"/>
    </xf>
    <xf applyAlignment="true" applyBorder="true" applyFont="true" applyProtection="false" borderId="27" fillId="0" fontId="44" numFmtId="164" xfId="0">
      <alignment horizontal="center" indent="0" shrinkToFit="false" textRotation="0" vertical="center" wrapText="true"/>
    </xf>
    <xf applyAlignment="true" applyBorder="true" applyFont="true" applyProtection="false" borderId="27" fillId="0" fontId="43" numFmtId="164" xfId="0">
      <alignment horizontal="center" indent="0" shrinkToFit="false" textRotation="0" vertical="center" wrapText="true"/>
    </xf>
    <xf applyAlignment="true" applyBorder="true" applyFont="true" applyProtection="false" borderId="27" fillId="0" fontId="49" numFmtId="164" xfId="0">
      <alignment horizontal="center" indent="0" shrinkToFit="false" textRotation="0" vertical="center" wrapText="true"/>
    </xf>
    <xf applyAlignment="true" applyBorder="true" applyFont="true" applyProtection="false" borderId="8" fillId="0" fontId="44" numFmtId="164" xfId="0">
      <alignment horizontal="center" indent="0" shrinkToFit="false" textRotation="0" vertical="center" wrapText="true"/>
    </xf>
    <xf applyAlignment="true" applyBorder="true" applyFont="true" applyProtection="false" borderId="7" fillId="0" fontId="0" numFmtId="164" xfId="0">
      <alignment horizontal="center" indent="0" shrinkToFit="false" textRotation="0" vertical="center" wrapText="true"/>
    </xf>
    <xf applyAlignment="true" applyBorder="true" applyFont="true" applyProtection="false" borderId="10" fillId="0" fontId="57" numFmtId="164" xfId="0">
      <alignment horizontal="general" indent="0" shrinkToFit="false" textRotation="0" vertical="center" wrapText="true"/>
    </xf>
    <xf applyAlignment="true" applyBorder="true" applyFont="true" applyProtection="false" borderId="10" fillId="0" fontId="49" numFmtId="164" xfId="0">
      <alignment horizontal="general" indent="0" shrinkToFit="false" textRotation="0" vertical="center" wrapText="true"/>
    </xf>
    <xf applyAlignment="true" applyBorder="true" applyFont="true" applyProtection="true" borderId="10" fillId="0" fontId="73" numFmtId="165" xfId="0">
      <alignment horizontal="center" indent="0" shrinkToFit="false" textRotation="0" vertical="center" wrapText="true"/>
      <protection hidden="false" locked="false"/>
    </xf>
    <xf applyAlignment="true" applyBorder="true" applyFont="true" applyProtection="false" borderId="9" fillId="0" fontId="49" numFmtId="164" xfId="0">
      <alignment horizontal="general" indent="0" shrinkToFit="false" textRotation="0" vertical="center" wrapText="true"/>
    </xf>
    <xf applyAlignment="true" applyBorder="true" applyFont="true" applyProtection="true" borderId="10" fillId="0" fontId="73" numFmtId="164" xfId="0">
      <alignment horizontal="center" indent="0" shrinkToFit="false" textRotation="0" vertical="center" wrapText="true"/>
      <protection hidden="false" locked="false"/>
    </xf>
    <xf applyAlignment="true" applyBorder="true" applyFont="true" applyProtection="false" borderId="10" fillId="0" fontId="49" numFmtId="164" xfId="0">
      <alignment horizontal="general" indent="0" shrinkToFit="false" textRotation="0" vertical="center" wrapText="true"/>
    </xf>
    <xf applyAlignment="false" applyBorder="true" applyFont="true" applyProtection="false" borderId="10" fillId="0" fontId="0" numFmtId="164" xfId="0"/>
    <xf applyAlignment="true" applyBorder="true" applyFont="true" applyProtection="false" borderId="7" fillId="0" fontId="0" numFmtId="164" xfId="0">
      <alignment horizontal="center" indent="0" shrinkToFit="false" textRotation="0" vertical="center" wrapText="true"/>
    </xf>
    <xf applyAlignment="true" applyBorder="true" applyFont="true" applyProtection="true" borderId="10" fillId="0" fontId="73" numFmtId="164" xfId="19">
      <alignment horizontal="center" indent="0" shrinkToFit="false" textRotation="0" vertical="center" wrapText="true"/>
      <protection hidden="false" locked="false"/>
    </xf>
    <xf applyAlignment="true" applyBorder="true" applyFont="true" applyProtection="false" borderId="10" fillId="0" fontId="57" numFmtId="164" xfId="0">
      <alignment horizontal="general" indent="0" shrinkToFit="false" textRotation="0" vertical="center" wrapText="true"/>
    </xf>
    <xf applyAlignment="true" applyBorder="true" applyFont="true" applyProtection="false" borderId="10" fillId="0" fontId="49" numFmtId="164" xfId="0">
      <alignment horizontal="center" indent="0" shrinkToFit="false" textRotation="0" vertical="center" wrapText="true"/>
    </xf>
    <xf applyAlignment="false" applyBorder="true" applyFont="true" applyProtection="true" borderId="10" fillId="0" fontId="0" numFmtId="164" xfId="0">
      <protection hidden="false" locked="false"/>
    </xf>
    <xf applyAlignment="false" applyBorder="true" applyFont="true" applyProtection="false" borderId="9" fillId="0" fontId="0" numFmtId="164" xfId="0"/>
    <xf applyAlignment="true" applyBorder="true" applyFont="true" applyProtection="false" borderId="11" fillId="0" fontId="0" numFmtId="164" xfId="0">
      <alignment horizontal="center" indent="0" shrinkToFit="false" textRotation="0" vertical="center" wrapText="true"/>
    </xf>
    <xf applyAlignment="true" applyBorder="true" applyFont="true" applyProtection="false" borderId="12" fillId="0" fontId="57" numFmtId="164" xfId="0">
      <alignment horizontal="general" indent="0" shrinkToFit="false" textRotation="0" vertical="center" wrapText="true"/>
    </xf>
    <xf applyAlignment="true" applyBorder="true" applyFont="true" applyProtection="false" borderId="12" fillId="0" fontId="49" numFmtId="164" xfId="0">
      <alignment horizontal="center" indent="0" shrinkToFit="false" textRotation="0" vertical="center" wrapText="true"/>
    </xf>
    <xf applyAlignment="false" applyBorder="true" applyFont="true" applyProtection="false" borderId="12" fillId="0" fontId="0" numFmtId="164" xfId="0"/>
    <xf applyAlignment="false" applyBorder="true" applyFont="true" applyProtection="true" borderId="12" fillId="0" fontId="0" numFmtId="164" xfId="0">
      <protection hidden="false" locked="false"/>
    </xf>
    <xf applyAlignment="false" applyBorder="true" applyFont="true" applyProtection="false" borderId="19" fillId="0" fontId="0" numFmtId="164" xfId="0"/>
    <xf applyAlignment="true" applyBorder="false" applyFont="true" applyProtection="false" borderId="0" fillId="0" fontId="43" numFmtId="164" xfId="0">
      <alignment horizontal="general" indent="0" shrinkToFit="false" textRotation="0" vertical="center" wrapText="true"/>
    </xf>
    <xf applyAlignment="true" applyBorder="false" applyFont="true" applyProtection="false" borderId="0" fillId="0" fontId="0" numFmtId="164" xfId="0">
      <alignment horizontal="general" indent="0" shrinkToFit="false" textRotation="0" vertical="center" wrapText="true"/>
    </xf>
  </cellXfs>
  <cellStyles count="13">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 builtinId="54" customBuiltin="true" name="Hipervínculo 2" xfId="20"/>
    <cellStyle builtinId="54" customBuiltin="true" name="Normal 2" xfId="21"/>
    <cellStyle builtinId="54" customBuiltin="true" name="Normal 3" xfId="22"/>
    <cellStyle builtinId="54" customBuiltin="true" name="Normal_PAO 2011 14dic" xfId="23"/>
    <cellStyle builtinId="54" customBuiltin="true" name="Porcentual 2" xfId="24"/>
    <cellStyle builtinId="54" customBuiltin="true" name="Porcentual 3" xfId="25"/>
    <cellStyle builtinId="8" customBuiltin="false" name="*unknown*" xfId="15"/>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4F81BD"/>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sharedStrings" Target="sharedStrings.xml"/>
</Relationships>
</file>

<file path=xl/drawings/_rels/drawing2.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a="http://schemas.openxmlformats.org/drawingml/2006/main" xmlns:r="http://schemas.openxmlformats.org/officeDocument/2006/relationships" xmlns:xdr="http://schemas.openxmlformats.org/drawingml/2006/spreadsheetDrawing"/>
</file>

<file path=xl/drawings/drawing2.xml><?xml version="1.0" encoding="utf-8"?>
<xdr:wsDr xmlns:a="http://schemas.openxmlformats.org/drawingml/2006/main" xmlns:r="http://schemas.openxmlformats.org/officeDocument/2006/relationships" xmlns:xdr="http://schemas.openxmlformats.org/drawingml/2006/spreadsheetDrawing">
  <xdr:twoCellAnchor editAs="oneCell">
    <xdr:from>
      <xdr:col>0</xdr:col>
      <xdr:colOff>19080</xdr:colOff>
      <xdr:row>0</xdr:row>
      <xdr:rowOff>104760</xdr:rowOff>
    </xdr:from>
    <xdr:to>
      <xdr:col>0</xdr:col>
      <xdr:colOff>837720</xdr:colOff>
      <xdr:row>4</xdr:row>
      <xdr:rowOff>12600</xdr:rowOff>
    </xdr:to>
    <xdr:pic>
      <xdr:nvPicPr>
        <xdr:cNvPr descr="" id="0" name="Picture 1"/>
        <xdr:cNvPicPr/>
      </xdr:nvPicPr>
      <xdr:blipFill>
        <a:blip r:embed="rId1"/>
        <a:stretch>
          <a:fillRect/>
        </a:stretch>
      </xdr:blipFill>
      <xdr:spPr>
        <a:xfrm>
          <a:off x="19080" y="104760"/>
          <a:ext cx="818640" cy="818640"/>
        </a:xfrm>
        <a:prstGeom prst="rect">
          <a:avLst/>
        </a:prstGeom>
      </xdr:spPr>
    </xdr:pic>
    <xdr:clientData/>
  </xdr:twoCellAnchor>
  <xdr:twoCellAnchor editAs="oneCell">
    <xdr:from>
      <xdr:col>4</xdr:col>
      <xdr:colOff>454320</xdr:colOff>
      <xdr:row>0</xdr:row>
      <xdr:rowOff>47520</xdr:rowOff>
    </xdr:from>
    <xdr:to>
      <xdr:col>5</xdr:col>
      <xdr:colOff>43200</xdr:colOff>
      <xdr:row>3</xdr:row>
      <xdr:rowOff>116640</xdr:rowOff>
    </xdr:to>
    <xdr:pic>
      <xdr:nvPicPr>
        <xdr:cNvPr descr="" id="1" name="Picture 2"/>
        <xdr:cNvPicPr/>
      </xdr:nvPicPr>
      <xdr:blipFill>
        <a:blip r:embed="rId2"/>
        <a:stretch>
          <a:fillRect/>
        </a:stretch>
      </xdr:blipFill>
      <xdr:spPr>
        <a:xfrm>
          <a:off x="7439040" y="47520"/>
          <a:ext cx="980640" cy="752040"/>
        </a:xfrm>
        <a:prstGeom prst="rect">
          <a:avLst/>
        </a:prstGeom>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3:A11"/>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 min="1" style="0" width="130.823529411765"/>
    <col collapsed="false" hidden="false" max="257" min="2" style="0" width="10.5764705882353"/>
  </cols>
  <sheetData>
    <row collapsed="false" customFormat="false" customHeight="true" hidden="false" ht="162" outlineLevel="0" r="3">
      <c r="A3" s="1" t="s">
        <v>0</v>
      </c>
    </row>
    <row collapsed="false" customFormat="false" customHeight="true" hidden="false" ht="102.75" outlineLevel="0" r="4">
      <c r="A4" s="2" t="s">
        <v>1</v>
      </c>
    </row>
    <row collapsed="false" customFormat="false" customHeight="true" hidden="false" ht="28.5" outlineLevel="0" r="5">
      <c r="A5" s="3"/>
    </row>
    <row collapsed="false" customFormat="false" customHeight="true" hidden="false" ht="49.5" outlineLevel="0" r="6">
      <c r="A6" s="3" t="s">
        <v>2</v>
      </c>
    </row>
    <row collapsed="false" customFormat="false" customHeight="true" hidden="false" ht="43.5" outlineLevel="0" r="7">
      <c r="A7" s="4" t="s">
        <v>3</v>
      </c>
    </row>
    <row collapsed="false" customFormat="false" customHeight="false" hidden="false" ht="20" outlineLevel="0" r="8">
      <c r="A8" s="5" t="s">
        <v>4</v>
      </c>
    </row>
    <row collapsed="false" customFormat="false" customHeight="false" hidden="false" ht="28.35" outlineLevel="0" r="11">
      <c r="A11" s="6" t="s">
        <v>5</v>
      </c>
    </row>
  </sheetData>
  <printOptions headings="false" gridLines="false" gridLinesSet="true" horizontalCentered="false" verticalCentered="false"/>
  <pageMargins left="0.708333333333333" right="0.708333333333333" top="0.747916666666667" bottom="0.747916666666667" header="0.511805555555555" footer="0.511805555555555"/>
  <pageSetup blackAndWhite="false" cellComments="none" copies="1" draft="false" firstPageNumber="0" fitToHeight="1" fitToWidth="1" horizontalDpi="300" orientation="landscape" pageOrder="downThenOver" paperSize="77" scale="100" useFirstPageNumber="false" usePrinterDefaults="false" verticalDpi="300"/>
  <headerFooter differentFirst="false" differentOddEven="false">
    <oddHeader/>
    <oddFooter/>
  </headerFooter>
  <drawing r:id="rId1"/>
</worksheet>
</file>

<file path=xl/worksheets/sheet10.xml><?xml version="1.0" encoding="utf-8"?>
<worksheet xmlns="http://schemas.openxmlformats.org/spreadsheetml/2006/main" xmlns:r="http://schemas.openxmlformats.org/officeDocument/2006/relationships">
  <sheetPr filterMode="false">
    <pageSetUpPr fitToPage="false"/>
  </sheetPr>
  <dimension ref="A1:G400"/>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B1" activeCellId="0" pane="topLeft" sqref="B1"/>
    </sheetView>
  </sheetViews>
  <cols>
    <col collapsed="false" hidden="false" max="1" min="1" style="269" width="3.44313725490196"/>
    <col collapsed="false" hidden="false" max="2" min="2" style="270" width="36.8666666666667"/>
    <col collapsed="false" hidden="false" max="3" min="3" style="270" width="20.2235294117647"/>
    <col collapsed="false" hidden="false" max="4" min="4" style="271" width="14.4862745098039"/>
    <col collapsed="false" hidden="false" max="5" min="5" style="270" width="14.6274509803922"/>
    <col collapsed="false" hidden="false" max="6" min="6" style="270" width="15.2039215686275"/>
    <col collapsed="false" hidden="false" max="7" min="7" style="270" width="16.4941176470588"/>
    <col collapsed="false" hidden="false" max="8" min="8" style="270" width="6.02352941176471"/>
    <col collapsed="false" hidden="false" max="257" min="9" style="270" width="11.4745098039216"/>
  </cols>
  <sheetData>
    <row collapsed="false" customFormat="false" customHeight="false" hidden="false" ht="14" outlineLevel="0" r="1">
      <c r="B1" s="272" t="s">
        <v>0</v>
      </c>
    </row>
    <row collapsed="false" customFormat="false" customHeight="true" hidden="false" ht="15.75" outlineLevel="0" r="2">
      <c r="B2" s="273" t="s">
        <v>438</v>
      </c>
      <c r="C2" s="273"/>
      <c r="D2" s="273"/>
      <c r="E2" s="273"/>
      <c r="F2" s="273"/>
      <c r="G2" s="273"/>
    </row>
    <row collapsed="false" customFormat="false" customHeight="true" hidden="false" ht="23.25" outlineLevel="0" r="4">
      <c r="B4" s="274" t="s">
        <v>439</v>
      </c>
      <c r="C4" s="275" t="s">
        <v>440</v>
      </c>
      <c r="D4" s="275" t="s">
        <v>441</v>
      </c>
      <c r="E4" s="275" t="s">
        <v>442</v>
      </c>
      <c r="F4" s="276" t="s">
        <v>443</v>
      </c>
      <c r="G4" s="276"/>
    </row>
    <row collapsed="false" customFormat="false" customHeight="false" hidden="false" ht="14" outlineLevel="0" r="5">
      <c r="A5" s="269" t="n">
        <v>1</v>
      </c>
      <c r="B5" s="277" t="s">
        <v>444</v>
      </c>
      <c r="C5" s="278"/>
      <c r="D5" s="279"/>
      <c r="E5" s="278"/>
      <c r="F5" s="278"/>
      <c r="G5" s="280"/>
    </row>
    <row collapsed="false" customFormat="false" customHeight="false" hidden="false" ht="20.85" outlineLevel="0" r="6">
      <c r="A6" s="269" t="n">
        <v>1.1</v>
      </c>
      <c r="B6" s="281" t="s">
        <v>445</v>
      </c>
      <c r="C6" s="282" t="s">
        <v>446</v>
      </c>
      <c r="D6" s="282" t="str">
        <f aca="false">"Cantidad "&amp;C6&amp;" 2010"</f>
        <v>Cantidad Examenes 2010</v>
      </c>
      <c r="E6" s="282" t="str">
        <f aca="false">"Porcentaje "&amp;C6&amp;" 2010"</f>
        <v>Porcentaje Examenes 2010</v>
      </c>
      <c r="F6" s="282" t="s">
        <v>447</v>
      </c>
      <c r="G6" s="283" t="str">
        <f aca="false">C6&amp;" por Servicio Final"</f>
        <v>Examenes por Servicio Final</v>
      </c>
    </row>
    <row collapsed="false" customFormat="false" customHeight="false" hidden="false" ht="14" outlineLevel="0" r="7">
      <c r="B7" s="284" t="str">
        <f aca="false">5_Produccion_Desagregada_09_10!$C$5</f>
        <v>Servicios Ambulatorios</v>
      </c>
      <c r="C7" s="285"/>
      <c r="D7" s="286" t="n">
        <f aca="false">SUM(D8:D14)</f>
        <v>438358</v>
      </c>
      <c r="E7" s="287" t="inlineStr">
        <f aca="false">SUM(E8:E14)</f>
        <is>
          <t/>
        </is>
      </c>
      <c r="F7" s="286" t="n">
        <f aca="false">SUM(F9:F14)</f>
        <v>248597</v>
      </c>
      <c r="G7" s="288"/>
    </row>
    <row collapsed="false" customFormat="false" customHeight="false" hidden="false" ht="14" outlineLevel="0" r="8">
      <c r="B8" s="289" t="str">
        <f aca="false">5_Produccion_Desagregada_09_10!$C$7</f>
        <v>Consulta General </v>
      </c>
      <c r="C8" s="290" t="str">
        <f aca="false">C$6</f>
        <v>Examenes</v>
      </c>
      <c r="D8" s="186" t="n">
        <v>0</v>
      </c>
      <c r="E8" s="291" t="n">
        <f aca="false">IF(ISERROR(D8/$D$7),"",D8/$D$7)</f>
        <v>0</v>
      </c>
      <c r="F8" s="292" t="n">
        <f aca="false">5_Produccion_Desagregada_09_10!$F$7</f>
        <v>0</v>
      </c>
      <c r="G8" s="293" t="str">
        <f aca="false">IF(ISERROR(D8/F8),"",D8/F8)</f>
        <v/>
      </c>
    </row>
    <row collapsed="false" customFormat="false" customHeight="false" hidden="false" ht="14" outlineLevel="0" r="9">
      <c r="B9" s="289" t="str">
        <f aca="false">5_Produccion_Desagregada_09_10!$C$9</f>
        <v>Consultas de Especializadades Básicas</v>
      </c>
      <c r="C9" s="290" t="str">
        <f aca="false">C$6</f>
        <v>Examenes</v>
      </c>
      <c r="D9" s="186" t="n">
        <v>0</v>
      </c>
      <c r="E9" s="291" t="n">
        <f aca="false">IF(ISERROR(D9/$D$7),"",D9/$D$7)</f>
        <v>0</v>
      </c>
      <c r="F9" s="292" t="n">
        <f aca="false">5_Produccion_Desagregada_09_10!$F$9</f>
        <v>0</v>
      </c>
      <c r="G9" s="293" t="str">
        <f aca="false">IF(ISERROR(D9/F9),"",D9/F9)</f>
        <v/>
      </c>
    </row>
    <row collapsed="false" customFormat="false" customHeight="false" hidden="false" ht="14" outlineLevel="0" r="10">
      <c r="B10" s="289" t="str">
        <f aca="false">5_Produccion_Desagregada_09_10!$C$12</f>
        <v>Consultas de Sub Especializadades</v>
      </c>
      <c r="C10" s="290" t="str">
        <f aca="false">C$6</f>
        <v>Examenes</v>
      </c>
      <c r="D10" s="186" t="n">
        <f aca="false">227915+18817</f>
        <v>246732</v>
      </c>
      <c r="E10" s="291" t="n">
        <f aca="false">IF(ISERROR(D10/$D$7),"",D10/$D$7)</f>
        <v>0.562855018044612</v>
      </c>
      <c r="F10" s="292" t="n">
        <f aca="false">5_Produccion_Desagregada_09_10!$F$12</f>
        <v>207721</v>
      </c>
      <c r="G10" s="293" t="n">
        <f aca="false">IF(ISERROR(D10/F10),"",D10/F10)</f>
        <v>1.18780479585598</v>
      </c>
    </row>
    <row collapsed="false" customFormat="false" customHeight="false" hidden="false" ht="14" outlineLevel="0" r="11">
      <c r="B11" s="289" t="str">
        <f aca="false">5_Produccion_Desagregada_09_10!$C$17</f>
        <v>Consultas de Emergencia de Medicina Interna Pediatrica</v>
      </c>
      <c r="C11" s="290" t="str">
        <f aca="false">C$6</f>
        <v>Examenes</v>
      </c>
      <c r="D11" s="186" t="n">
        <v>95756</v>
      </c>
      <c r="E11" s="291" t="n">
        <f aca="false">IF(ISERROR(D11/$D$7),"",D11/$D$7)</f>
        <v>0.218442460272198</v>
      </c>
      <c r="F11" s="292" t="n">
        <f aca="false">5_Produccion_Desagregada_09_10!$F$17</f>
        <v>9804</v>
      </c>
      <c r="G11" s="293" t="n">
        <f aca="false">IF(ISERROR(D11/F11),"",D11/F11)</f>
        <v>9.76703386372909</v>
      </c>
    </row>
    <row collapsed="false" customFormat="false" customHeight="false" hidden="false" ht="14" outlineLevel="0" r="12">
      <c r="B12" s="289" t="str">
        <f aca="false">5_Produccion_Desagregada_09_10!$C$18</f>
        <v>Consultas de Emergencia de Cirugia General Pediatrica</v>
      </c>
      <c r="C12" s="290" t="str">
        <f aca="false">C$6</f>
        <v>Examenes</v>
      </c>
      <c r="D12" s="186" t="n">
        <v>95756</v>
      </c>
      <c r="E12" s="291" t="n">
        <f aca="false">IF(ISERROR(D12/$D$7),"",D12/$D$7)</f>
        <v>0.218442460272198</v>
      </c>
      <c r="F12" s="292" t="n">
        <f aca="false">5_Produccion_Desagregada_09_10!$F$18</f>
        <v>13464</v>
      </c>
      <c r="G12" s="293" t="n">
        <f aca="false">IF(ISERROR(D12/F12),"",D12/F12)</f>
        <v>7.11200237670826</v>
      </c>
    </row>
    <row collapsed="false" customFormat="false" customHeight="false" hidden="false" ht="14" outlineLevel="0" r="13">
      <c r="B13" s="289" t="str">
        <f aca="false">5_Produccion_Desagregada_09_10!$C$20</f>
        <v>Consulta de Odontologia General</v>
      </c>
      <c r="C13" s="290" t="str">
        <f aca="false">C$6</f>
        <v>Examenes</v>
      </c>
      <c r="D13" s="186" t="n">
        <v>97</v>
      </c>
      <c r="E13" s="291" t="n">
        <f aca="false">IF(ISERROR(D13/$D$7),"",D13/$D$7)</f>
        <v>0.000221280323388646</v>
      </c>
      <c r="F13" s="292" t="n">
        <f aca="false">5_Produccion_Desagregada_09_10!$F$20</f>
        <v>16487</v>
      </c>
      <c r="G13" s="293" t="n">
        <f aca="false">IF(ISERROR(D13/F13),"",D13/F13)</f>
        <v>0.00588342330320859</v>
      </c>
    </row>
    <row collapsed="false" customFormat="false" customHeight="false" hidden="false" ht="14" outlineLevel="0" r="14">
      <c r="B14" s="289" t="str">
        <f aca="false">5_Produccion_Desagregada_09_10!$C$21</f>
        <v>Consulta de Ortodoncia</v>
      </c>
      <c r="C14" s="290" t="str">
        <f aca="false">C$6</f>
        <v>Examenes</v>
      </c>
      <c r="D14" s="186" t="n">
        <v>17</v>
      </c>
      <c r="E14" s="291" t="n">
        <f aca="false">IF(ISERROR(D14/$D$7),"",D14/$D$7)</f>
        <v>3.87810876041957E-005</v>
      </c>
      <c r="F14" s="292" t="n">
        <f aca="false">5_Produccion_Desagregada_09_10!$F$21</f>
        <v>1121</v>
      </c>
      <c r="G14" s="293" t="n">
        <f aca="false">IF(ISERROR(D14/F14),"",D14/F14)</f>
        <v>0.0151650312221231</v>
      </c>
    </row>
    <row collapsed="false" customFormat="false" customHeight="false" hidden="false" ht="14" outlineLevel="0" r="15">
      <c r="B15" s="294" t="str">
        <f aca="false">5_Produccion_Desagregada_09_10!$C$32</f>
        <v>Servicios Hospitalarios </v>
      </c>
      <c r="C15" s="295"/>
      <c r="D15" s="296" t="n">
        <f aca="false">SUM(D16,D30)</f>
        <v>357485</v>
      </c>
      <c r="E15" s="295"/>
      <c r="F15" s="296" t="n">
        <f aca="false">SUM(F16,F30)</f>
        <v>16069</v>
      </c>
      <c r="G15" s="297"/>
    </row>
    <row collapsed="false" customFormat="false" customHeight="false" hidden="false" ht="14" outlineLevel="0" r="16">
      <c r="B16" s="298" t="str">
        <f aca="false">5_Produccion_Desagregada_09_10!$C$33</f>
        <v>Egresos</v>
      </c>
      <c r="C16" s="299"/>
      <c r="D16" s="300" t="n">
        <f aca="false">SUM(D17:D29)</f>
        <v>225112</v>
      </c>
      <c r="E16" s="299" t="inlineStr">
        <f aca="false">SUM(E17:E29)</f>
        <is>
          <t/>
        </is>
      </c>
      <c r="F16" s="300" t="n">
        <f aca="false">SUM(F17:F29)</f>
        <v>14427</v>
      </c>
      <c r="G16" s="301"/>
    </row>
    <row collapsed="false" customFormat="false" customHeight="false" hidden="false" ht="14" outlineLevel="0" r="17">
      <c r="B17" s="289" t="str">
        <f aca="false">5_Produccion_Desagregada_09_10!$C$35</f>
        <v>Medicina Interna </v>
      </c>
      <c r="C17" s="290" t="str">
        <f aca="false">C$6</f>
        <v>Examenes</v>
      </c>
      <c r="D17" s="186" t="n">
        <v>26401</v>
      </c>
      <c r="E17" s="291" t="n">
        <f aca="false">IF(ISERROR(D17/$D$16),"",D17/$D$16)</f>
        <v>0.117279398699314</v>
      </c>
      <c r="F17" s="292" t="n">
        <f aca="false">5_Produccion_Desagregada_09_10!$F$35</f>
        <v>1106</v>
      </c>
      <c r="G17" s="293" t="n">
        <f aca="false">IF(ISERROR(D17/F17),"",D17/F17)</f>
        <v>23.870705244123</v>
      </c>
    </row>
    <row collapsed="false" customFormat="false" customHeight="false" hidden="false" ht="14" outlineLevel="0" r="18">
      <c r="B18" s="289" t="str">
        <f aca="false">5_Produccion_Desagregada_09_10!$C$36</f>
        <v>Infectología</v>
      </c>
      <c r="C18" s="290" t="str">
        <f aca="false">C$6</f>
        <v>Examenes</v>
      </c>
      <c r="D18" s="186" t="n">
        <v>45139</v>
      </c>
      <c r="E18" s="291" t="n">
        <f aca="false">IF(ISERROR(D18/$D$16),"",D18/$D$16)</f>
        <v>0.200517964391059</v>
      </c>
      <c r="F18" s="292" t="n">
        <f aca="false">5_Produccion_Desagregada_09_10!$F$36</f>
        <v>2282</v>
      </c>
      <c r="G18" s="293" t="n">
        <f aca="false">IF(ISERROR(D18/F18),"",D18/F18)</f>
        <v>19.7804557405784</v>
      </c>
    </row>
    <row collapsed="false" customFormat="false" customHeight="false" hidden="false" ht="14" outlineLevel="0" r="19">
      <c r="B19" s="289" t="str">
        <f aca="false">5_Produccion_Desagregada_09_10!$C$37</f>
        <v>Nefrología</v>
      </c>
      <c r="C19" s="290" t="str">
        <f aca="false">C$6</f>
        <v>Examenes</v>
      </c>
      <c r="D19" s="186" t="n">
        <v>32942</v>
      </c>
      <c r="E19" s="291" t="n">
        <f aca="false">IF(ISERROR(D19/$D$16),"",D19/$D$16)</f>
        <v>0.146336046057074</v>
      </c>
      <c r="F19" s="292" t="n">
        <f aca="false">5_Produccion_Desagregada_09_10!$F$37</f>
        <v>323</v>
      </c>
      <c r="G19" s="293" t="n">
        <f aca="false">IF(ISERROR(D19/F19),"",D19/F19)</f>
        <v>101.987616099071</v>
      </c>
    </row>
    <row collapsed="false" customFormat="false" customHeight="false" hidden="false" ht="14" outlineLevel="0" r="20">
      <c r="B20" s="289" t="str">
        <f aca="false">5_Produccion_Desagregada_09_10!$C$38</f>
        <v>Hematología</v>
      </c>
      <c r="C20" s="290" t="str">
        <f aca="false">C$6</f>
        <v>Examenes</v>
      </c>
      <c r="D20" s="186" t="n">
        <v>11025</v>
      </c>
      <c r="E20" s="291" t="n">
        <f aca="false">IF(ISERROR(D20/$D$16),"",D20/$D$16)</f>
        <v>0.0489756210242013</v>
      </c>
      <c r="F20" s="292" t="n">
        <f aca="false">5_Produccion_Desagregada_09_10!$F$38</f>
        <v>958</v>
      </c>
      <c r="G20" s="293" t="n">
        <f aca="false">IF(ISERROR(D20/F20),"",D20/F20)</f>
        <v>11.5083507306889</v>
      </c>
    </row>
    <row collapsed="false" customFormat="false" customHeight="false" hidden="false" ht="14" outlineLevel="0" r="21">
      <c r="B21" s="289" t="str">
        <f aca="false">5_Produccion_Desagregada_09_10!$C$39</f>
        <v>Oncología</v>
      </c>
      <c r="C21" s="290" t="str">
        <f aca="false">C$6</f>
        <v>Examenes</v>
      </c>
      <c r="D21" s="186" t="n">
        <v>30129</v>
      </c>
      <c r="E21" s="291" t="n">
        <f aca="false">IF(ISERROR(D21/$D$16),"",D21/$D$16)</f>
        <v>0.133840044066953</v>
      </c>
      <c r="F21" s="292" t="n">
        <f aca="false">5_Produccion_Desagregada_09_10!$F$39</f>
        <v>708</v>
      </c>
      <c r="G21" s="293" t="n">
        <f aca="false">IF(ISERROR(D21/F21),"",D21/F21)</f>
        <v>42.5550847457627</v>
      </c>
    </row>
    <row collapsed="false" customFormat="false" customHeight="false" hidden="false" ht="14" outlineLevel="0" r="22">
      <c r="B22" s="289" t="str">
        <f aca="false">5_Produccion_Desagregada_09_10!$C$40</f>
        <v>Neonatología</v>
      </c>
      <c r="C22" s="290" t="str">
        <f aca="false">C$6</f>
        <v>Examenes</v>
      </c>
      <c r="D22" s="186" t="n">
        <v>36813</v>
      </c>
      <c r="E22" s="291" t="n">
        <f aca="false">IF(ISERROR(D22/$D$16),"",D22/$D$16)</f>
        <v>0.163531930772238</v>
      </c>
      <c r="F22" s="292" t="n">
        <f aca="false">5_Produccion_Desagregada_09_10!$F$40</f>
        <v>711</v>
      </c>
      <c r="G22" s="293" t="n">
        <f aca="false">IF(ISERROR(D22/F22),"",D22/F22)</f>
        <v>51.7763713080169</v>
      </c>
    </row>
    <row collapsed="false" customFormat="false" customHeight="false" hidden="false" ht="14" outlineLevel="0" r="23">
      <c r="B23" s="289" t="str">
        <f aca="false">5_Produccion_Desagregada_09_10!$C$42</f>
        <v>Cirugía General</v>
      </c>
      <c r="C23" s="290" t="str">
        <f aca="false">C$6</f>
        <v>Examenes</v>
      </c>
      <c r="D23" s="186" t="n">
        <v>8483</v>
      </c>
      <c r="E23" s="291" t="n">
        <f aca="false">IF(ISERROR(D23/$D$16),"",D23/$D$16)</f>
        <v>0.0376834642311383</v>
      </c>
      <c r="F23" s="292" t="n">
        <f aca="false">5_Produccion_Desagregada_09_10!$F$42</f>
        <v>2410</v>
      </c>
      <c r="G23" s="293" t="n">
        <f aca="false">IF(ISERROR(D23/F23),"",D23/F23)</f>
        <v>3.51991701244813</v>
      </c>
    </row>
    <row collapsed="false" customFormat="false" customHeight="false" hidden="false" ht="14" outlineLevel="0" r="24">
      <c r="B24" s="289" t="str">
        <f aca="false">5_Produccion_Desagregada_09_10!$C$43</f>
        <v>Cirugía Plastica</v>
      </c>
      <c r="C24" s="290" t="str">
        <f aca="false">C$6</f>
        <v>Examenes</v>
      </c>
      <c r="D24" s="186" t="n">
        <v>6589</v>
      </c>
      <c r="E24" s="291" t="n">
        <f aca="false">IF(ISERROR(D24/$D$16),"",D24/$D$16)</f>
        <v>0.0292698745513344</v>
      </c>
      <c r="F24" s="292" t="n">
        <f aca="false">5_Produccion_Desagregada_09_10!$F$43</f>
        <v>962</v>
      </c>
      <c r="G24" s="293" t="n">
        <f aca="false">IF(ISERROR(D24/F24),"",D24/F24)</f>
        <v>6.84927234927235</v>
      </c>
    </row>
    <row collapsed="false" customFormat="false" customHeight="false" hidden="false" ht="14" outlineLevel="0" r="25">
      <c r="B25" s="289" t="str">
        <f aca="false">5_Produccion_Desagregada_09_10!$C$44</f>
        <v>Neurocirugía</v>
      </c>
      <c r="C25" s="290" t="str">
        <f aca="false">C$6</f>
        <v>Examenes</v>
      </c>
      <c r="D25" s="186" t="n">
        <v>11283</v>
      </c>
      <c r="E25" s="291" t="n">
        <f aca="false">IF(ISERROR(D25/$D$16),"",D25/$D$16)</f>
        <v>0.0501217171896656</v>
      </c>
      <c r="F25" s="292" t="n">
        <f aca="false">5_Produccion_Desagregada_09_10!$F$44</f>
        <v>1152</v>
      </c>
      <c r="G25" s="293" t="n">
        <f aca="false">IF(ISERROR(D25/F25),"",D25/F25)</f>
        <v>9.79427083333333</v>
      </c>
    </row>
    <row collapsed="false" customFormat="false" customHeight="false" hidden="false" ht="14" outlineLevel="0" r="26">
      <c r="B26" s="289" t="str">
        <f aca="false">5_Produccion_Desagregada_09_10!$C$45</f>
        <v>Oftalmología</v>
      </c>
      <c r="C26" s="290" t="str">
        <f aca="false">C$6</f>
        <v>Examenes</v>
      </c>
      <c r="D26" s="186" t="n">
        <v>1825</v>
      </c>
      <c r="E26" s="291" t="n">
        <f aca="false">IF(ISERROR(D26/$D$16),"",D26/$D$16)</f>
        <v>0.00810707558904012</v>
      </c>
      <c r="F26" s="292" t="n">
        <f aca="false">5_Produccion_Desagregada_09_10!$F$45</f>
        <v>905</v>
      </c>
      <c r="G26" s="293" t="n">
        <f aca="false">IF(ISERROR(D26/F26),"",D26/F26)</f>
        <v>2.01657458563536</v>
      </c>
    </row>
    <row collapsed="false" customFormat="false" customHeight="false" hidden="false" ht="14" outlineLevel="0" r="27">
      <c r="B27" s="289" t="str">
        <f aca="false">5_Produccion_Desagregada_09_10!$C$46</f>
        <v>Otorrinolaringología</v>
      </c>
      <c r="C27" s="290" t="str">
        <f aca="false">C$6</f>
        <v>Examenes</v>
      </c>
      <c r="D27" s="186" t="n">
        <v>978</v>
      </c>
      <c r="E27" s="291" t="n">
        <f aca="false">IF(ISERROR(D27/$D$16),"",D27/$D$16)</f>
        <v>0.00434450406908561</v>
      </c>
      <c r="F27" s="292" t="n">
        <f aca="false">5_Produccion_Desagregada_09_10!$F$46</f>
        <v>1131</v>
      </c>
      <c r="G27" s="293" t="n">
        <f aca="false">IF(ISERROR(D27/F27),"",D27/F27)</f>
        <v>0.864721485411141</v>
      </c>
    </row>
    <row collapsed="false" customFormat="false" customHeight="false" hidden="false" ht="14" outlineLevel="0" r="28">
      <c r="B28" s="289" t="str">
        <f aca="false">5_Produccion_Desagregada_09_10!$C$47</f>
        <v>Ortopedia</v>
      </c>
      <c r="C28" s="290" t="str">
        <f aca="false">C$6</f>
        <v>Examenes</v>
      </c>
      <c r="D28" s="186" t="n">
        <v>2269</v>
      </c>
      <c r="E28" s="291" t="n">
        <f aca="false">IF(ISERROR(D28/$D$16),"",D28/$D$16)</f>
        <v>0.0100794271296066</v>
      </c>
      <c r="F28" s="292" t="n">
        <f aca="false">5_Produccion_Desagregada_09_10!$F$47</f>
        <v>706</v>
      </c>
      <c r="G28" s="293" t="n">
        <f aca="false">IF(ISERROR(D28/F28),"",D28/F28)</f>
        <v>3.21388101983003</v>
      </c>
    </row>
    <row collapsed="false" customFormat="false" customHeight="false" hidden="false" ht="14" outlineLevel="0" r="29">
      <c r="B29" s="289" t="str">
        <f aca="false">5_Produccion_Desagregada_09_10!$C$48</f>
        <v>Otros Servicios (Convenios / BM / ISSS)</v>
      </c>
      <c r="C29" s="290" t="str">
        <f aca="false">C$6</f>
        <v>Examenes</v>
      </c>
      <c r="D29" s="186" t="n">
        <v>11236</v>
      </c>
      <c r="E29" s="291" t="n">
        <f aca="false">IF(ISERROR(D29/$D$16),"",D29/$D$16)</f>
        <v>0.0499129322292903</v>
      </c>
      <c r="F29" s="292" t="n">
        <f aca="false">5_Produccion_Desagregada_09_10!$F$48</f>
        <v>1073</v>
      </c>
      <c r="G29" s="293" t="n">
        <f aca="false">IF(ISERROR(D29/F29),"",D29/F29)</f>
        <v>10.4715750232992</v>
      </c>
    </row>
    <row collapsed="false" customFormat="false" customHeight="false" hidden="false" ht="14" outlineLevel="0" r="30">
      <c r="B30" s="298" t="str">
        <f aca="false">5_Produccion_Desagregada_09_10!$C$54</f>
        <v>Cuidados Criticos</v>
      </c>
      <c r="C30" s="299"/>
      <c r="D30" s="300" t="n">
        <f aca="false">SUM(D31:D33)</f>
        <v>132373</v>
      </c>
      <c r="E30" s="299" t="inlineStr">
        <f aca="false">SUM(E31:E33)</f>
        <is>
          <t/>
        </is>
      </c>
      <c r="F30" s="300" t="n">
        <f aca="false">SUM(F31:F33)</f>
        <v>1642</v>
      </c>
      <c r="G30" s="301"/>
    </row>
    <row collapsed="false" customFormat="false" customHeight="false" hidden="false" ht="14" outlineLevel="0" r="31">
      <c r="B31" s="289" t="str">
        <f aca="false">5_Produccion_Desagregada_09_10!$C$55</f>
        <v>Unidad de Cuidados Intensivos</v>
      </c>
      <c r="C31" s="290" t="str">
        <f aca="false">C$6</f>
        <v>Examenes</v>
      </c>
      <c r="D31" s="186" t="n">
        <v>83338</v>
      </c>
      <c r="E31" s="291" t="n">
        <f aca="false">IF(ISERROR(D31/$D$30),"",D31/$D$30)</f>
        <v>0.629569474137475</v>
      </c>
      <c r="F31" s="292" t="n">
        <f aca="false">5_Produccion_Desagregada_09_10!$F$55</f>
        <v>926</v>
      </c>
      <c r="G31" s="293" t="n">
        <f aca="false">IF(ISERROR(D31/F31),"",D31/F31)</f>
        <v>89.9978401727862</v>
      </c>
    </row>
    <row collapsed="false" customFormat="false" customHeight="false" hidden="false" ht="14" outlineLevel="0" r="32">
      <c r="B32" s="289" t="str">
        <f aca="false">5_Produccion_Desagregada_09_10!$C$56</f>
        <v>Unidad de Cuidados Intermedios</v>
      </c>
      <c r="C32" s="290" t="str">
        <f aca="false">C$6</f>
        <v>Examenes</v>
      </c>
      <c r="D32" s="186" t="n">
        <v>17066</v>
      </c>
      <c r="E32" s="291" t="n">
        <f aca="false">IF(ISERROR(D32/$D$30),"",D32/$D$30)</f>
        <v>0.128923572027528</v>
      </c>
      <c r="F32" s="292" t="n">
        <f aca="false">5_Produccion_Desagregada_09_10!$F$56</f>
        <v>247</v>
      </c>
      <c r="G32" s="293" t="n">
        <f aca="false">IF(ISERROR(D32/F32),"",D32/F32)</f>
        <v>69.0931174089069</v>
      </c>
    </row>
    <row collapsed="false" customFormat="false" customHeight="false" hidden="false" ht="14" outlineLevel="0" r="33">
      <c r="B33" s="302" t="str">
        <f aca="false">5_Produccion_Desagregada_09_10!$C$57</f>
        <v>Unidad de Cuidados Intensivos Neonatales</v>
      </c>
      <c r="C33" s="290" t="str">
        <f aca="false">C$6</f>
        <v>Examenes</v>
      </c>
      <c r="D33" s="186" t="n">
        <v>31969</v>
      </c>
      <c r="E33" s="291" t="n">
        <f aca="false">IF(ISERROR(D33/$D$30),"",D33/$D$30)</f>
        <v>0.241506953834997</v>
      </c>
      <c r="F33" s="303" t="n">
        <f aca="false">5_Produccion_Desagregada_09_10!$F$57</f>
        <v>469</v>
      </c>
      <c r="G33" s="304" t="n">
        <f aca="false">IF(ISERROR(D33/F33),"",D33/F33)</f>
        <v>68.1641791044776</v>
      </c>
    </row>
    <row collapsed="false" customFormat="false" customHeight="false" hidden="false" ht="20.85" outlineLevel="0" r="34">
      <c r="A34" s="269" t="n">
        <v>1.2</v>
      </c>
      <c r="B34" s="281" t="s">
        <v>448</v>
      </c>
      <c r="C34" s="282" t="s">
        <v>446</v>
      </c>
      <c r="D34" s="282" t="str">
        <f aca="false">"Cantidad "&amp;C34&amp;" 2010"</f>
        <v>Cantidad Examenes 2010</v>
      </c>
      <c r="E34" s="282" t="str">
        <f aca="false">"Porcentaje "&amp;C34&amp;" 2010"</f>
        <v>Porcentaje Examenes 2010</v>
      </c>
      <c r="F34" s="282" t="s">
        <v>447</v>
      </c>
      <c r="G34" s="283" t="str">
        <f aca="false">C34&amp;" por Servicio Final"</f>
        <v>Examenes por Servicio Final</v>
      </c>
    </row>
    <row collapsed="false" customFormat="false" customHeight="false" hidden="false" ht="14" outlineLevel="0" r="35">
      <c r="B35" s="284" t="str">
        <f aca="false">5_Produccion_Desagregada_09_10!$C$5</f>
        <v>Servicios Ambulatorios</v>
      </c>
      <c r="C35" s="285"/>
      <c r="D35" s="286" t="n">
        <f aca="false">SUM(D36:D42)</f>
        <v>2262</v>
      </c>
      <c r="E35" s="287" t="inlineStr">
        <f aca="false">SUM(E36:E42)</f>
        <is>
          <t/>
        </is>
      </c>
      <c r="F35" s="286" t="n">
        <f aca="false">SUM(F37:F42)</f>
        <v>248597</v>
      </c>
      <c r="G35" s="288"/>
    </row>
    <row collapsed="false" customFormat="false" customHeight="false" hidden="false" ht="14" outlineLevel="0" r="36">
      <c r="B36" s="289" t="str">
        <f aca="false">5_Produccion_Desagregada_09_10!$C$7</f>
        <v>Consulta General </v>
      </c>
      <c r="C36" s="290" t="str">
        <f aca="false">C$34</f>
        <v>Examenes</v>
      </c>
      <c r="D36" s="305" t="n">
        <v>0</v>
      </c>
      <c r="E36" s="291" t="n">
        <f aca="false">IF(ISERROR(D36/$D$35),"",D36/$D$35)</f>
        <v>0</v>
      </c>
      <c r="F36" s="292" t="n">
        <f aca="false">5_Produccion_Desagregada_09_10!$F$7</f>
        <v>0</v>
      </c>
      <c r="G36" s="293" t="str">
        <f aca="false">IF(ISERROR(D36/F36),"",D36/F36)</f>
        <v/>
      </c>
    </row>
    <row collapsed="false" customFormat="false" customHeight="false" hidden="false" ht="14" outlineLevel="0" r="37">
      <c r="B37" s="289" t="str">
        <f aca="false">5_Produccion_Desagregada_09_10!$C$9</f>
        <v>Consultas de Especializadades Básicas</v>
      </c>
      <c r="C37" s="290" t="str">
        <f aca="false">C$34</f>
        <v>Examenes</v>
      </c>
      <c r="D37" s="305" t="n">
        <v>0</v>
      </c>
      <c r="E37" s="291" t="n">
        <f aca="false">IF(ISERROR(D37/$D$35),"",D37/$D$35)</f>
        <v>0</v>
      </c>
      <c r="F37" s="292" t="n">
        <f aca="false">5_Produccion_Desagregada_09_10!$F$9</f>
        <v>0</v>
      </c>
      <c r="G37" s="293" t="str">
        <f aca="false">IF(ISERROR(D37/F37),"",D37/F37)</f>
        <v/>
      </c>
    </row>
    <row collapsed="false" customFormat="false" customHeight="false" hidden="false" ht="14" outlineLevel="0" r="38">
      <c r="B38" s="289" t="str">
        <f aca="false">5_Produccion_Desagregada_09_10!$C$12</f>
        <v>Consultas de Sub Especializadades</v>
      </c>
      <c r="C38" s="290" t="str">
        <f aca="false">C$34</f>
        <v>Examenes</v>
      </c>
      <c r="D38" s="305" t="n">
        <f aca="false">116+2+2144</f>
        <v>2262</v>
      </c>
      <c r="E38" s="291" t="n">
        <f aca="false">IF(ISERROR(D38/$D$35),"",D38/$D$35)</f>
        <v>1</v>
      </c>
      <c r="F38" s="292" t="n">
        <f aca="false">5_Produccion_Desagregada_09_10!$F$12</f>
        <v>207721</v>
      </c>
      <c r="G38" s="293" t="n">
        <f aca="false">IF(ISERROR(D38/F38),"",D38/F38)</f>
        <v>0.010889606732107</v>
      </c>
    </row>
    <row collapsed="false" customFormat="false" customHeight="false" hidden="false" ht="14" outlineLevel="0" r="39">
      <c r="B39" s="289" t="str">
        <f aca="false">5_Produccion_Desagregada_09_10!$C$17</f>
        <v>Consultas de Emergencia de Medicina Interna Pediatrica</v>
      </c>
      <c r="C39" s="290" t="str">
        <f aca="false">C$34</f>
        <v>Examenes</v>
      </c>
      <c r="D39" s="305" t="n">
        <v>0</v>
      </c>
      <c r="E39" s="291" t="n">
        <f aca="false">IF(ISERROR(D39/$D$35),"",D39/$D$35)</f>
        <v>0</v>
      </c>
      <c r="F39" s="292" t="n">
        <f aca="false">5_Produccion_Desagregada_09_10!$F$17</f>
        <v>9804</v>
      </c>
      <c r="G39" s="293" t="n">
        <f aca="false">IF(ISERROR(D39/F39),"",D39/F39)</f>
        <v>0</v>
      </c>
    </row>
    <row collapsed="false" customFormat="false" customHeight="false" hidden="false" ht="14" outlineLevel="0" r="40">
      <c r="B40" s="289" t="str">
        <f aca="false">5_Produccion_Desagregada_09_10!$C$18</f>
        <v>Consultas de Emergencia de Cirugia General Pediatrica</v>
      </c>
      <c r="C40" s="290" t="str">
        <f aca="false">C$34</f>
        <v>Examenes</v>
      </c>
      <c r="D40" s="305" t="n">
        <v>0</v>
      </c>
      <c r="E40" s="291" t="n">
        <f aca="false">IF(ISERROR(D40/$D$35),"",D40/$D$35)</f>
        <v>0</v>
      </c>
      <c r="F40" s="292" t="n">
        <f aca="false">5_Produccion_Desagregada_09_10!$F$18</f>
        <v>13464</v>
      </c>
      <c r="G40" s="293" t="n">
        <f aca="false">IF(ISERROR(D40/F40),"",D40/F40)</f>
        <v>0</v>
      </c>
    </row>
    <row collapsed="false" customFormat="false" customHeight="false" hidden="false" ht="14" outlineLevel="0" r="41">
      <c r="B41" s="289" t="str">
        <f aca="false">5_Produccion_Desagregada_09_10!$C$20</f>
        <v>Consulta de Odontologia General</v>
      </c>
      <c r="C41" s="290" t="str">
        <f aca="false">C$34</f>
        <v>Examenes</v>
      </c>
      <c r="D41" s="305" t="n">
        <v>0</v>
      </c>
      <c r="E41" s="291" t="n">
        <f aca="false">IF(ISERROR(D41/$D$35),"",D41/$D$35)</f>
        <v>0</v>
      </c>
      <c r="F41" s="292" t="n">
        <f aca="false">5_Produccion_Desagregada_09_10!$F$20</f>
        <v>16487</v>
      </c>
      <c r="G41" s="293" t="n">
        <f aca="false">IF(ISERROR(D41/F41),"",D41/F41)</f>
        <v>0</v>
      </c>
    </row>
    <row collapsed="false" customFormat="false" customHeight="false" hidden="false" ht="14" outlineLevel="0" r="42">
      <c r="B42" s="289" t="str">
        <f aca="false">5_Produccion_Desagregada_09_10!$C$21</f>
        <v>Consulta de Ortodoncia</v>
      </c>
      <c r="C42" s="290" t="str">
        <f aca="false">C$34</f>
        <v>Examenes</v>
      </c>
      <c r="D42" s="305" t="n">
        <v>0</v>
      </c>
      <c r="E42" s="291" t="n">
        <f aca="false">IF(ISERROR(D42/$D$35),"",D42/$D$35)</f>
        <v>0</v>
      </c>
      <c r="F42" s="292" t="n">
        <f aca="false">5_Produccion_Desagregada_09_10!$F$21</f>
        <v>1121</v>
      </c>
      <c r="G42" s="293" t="n">
        <f aca="false">IF(ISERROR(D42/F42),"",D42/F42)</f>
        <v>0</v>
      </c>
    </row>
    <row collapsed="false" customFormat="false" customHeight="false" hidden="false" ht="14" outlineLevel="0" r="43">
      <c r="B43" s="294" t="str">
        <f aca="false">5_Produccion_Desagregada_09_10!$C$32</f>
        <v>Servicios Hospitalarios </v>
      </c>
      <c r="C43" s="295"/>
      <c r="D43" s="296" t="n">
        <f aca="false">SUM(D44,D58)</f>
        <v>128</v>
      </c>
      <c r="E43" s="295"/>
      <c r="F43" s="296" t="n">
        <f aca="false">SUM(F44,F58)</f>
        <v>16069</v>
      </c>
      <c r="G43" s="297"/>
    </row>
    <row collapsed="false" customFormat="false" customHeight="false" hidden="false" ht="14" outlineLevel="0" r="44">
      <c r="B44" s="298" t="str">
        <f aca="false">5_Produccion_Desagregada_09_10!$C$33</f>
        <v>Egresos</v>
      </c>
      <c r="C44" s="299"/>
      <c r="D44" s="300" t="n">
        <f aca="false">SUM(D45:D57)</f>
        <v>120</v>
      </c>
      <c r="E44" s="299" t="inlineStr">
        <f aca="false">SUM(E45:E57)</f>
        <is>
          <t/>
        </is>
      </c>
      <c r="F44" s="300" t="n">
        <f aca="false">SUM(F45:F57)</f>
        <v>14427</v>
      </c>
      <c r="G44" s="301"/>
    </row>
    <row collapsed="false" customFormat="false" customHeight="false" hidden="false" ht="14" outlineLevel="0" r="45">
      <c r="B45" s="289" t="str">
        <f aca="false">5_Produccion_Desagregada_09_10!$C$35</f>
        <v>Medicina Interna </v>
      </c>
      <c r="C45" s="290" t="str">
        <f aca="false">C$34</f>
        <v>Examenes</v>
      </c>
      <c r="D45" s="186" t="n">
        <v>8</v>
      </c>
      <c r="E45" s="291" t="n">
        <f aca="false">IF(ISERROR(D45/$D$44),"",D45/$D$44)</f>
        <v>0.0666666666666667</v>
      </c>
      <c r="F45" s="292" t="n">
        <f aca="false">5_Produccion_Desagregada_09_10!$F$35</f>
        <v>1106</v>
      </c>
      <c r="G45" s="293" t="n">
        <f aca="false">IF(ISERROR(D45/F45),"",D45/F45)</f>
        <v>0.00723327305605787</v>
      </c>
    </row>
    <row collapsed="false" customFormat="false" customHeight="false" hidden="false" ht="14" outlineLevel="0" r="46">
      <c r="B46" s="289" t="str">
        <f aca="false">5_Produccion_Desagregada_09_10!$C$36</f>
        <v>Infectología</v>
      </c>
      <c r="C46" s="290" t="str">
        <f aca="false">C$34</f>
        <v>Examenes</v>
      </c>
      <c r="D46" s="186" t="n">
        <v>5</v>
      </c>
      <c r="E46" s="291" t="n">
        <f aca="false">IF(ISERROR(D46/$D$44),"",D46/$D$44)</f>
        <v>0.0416666666666667</v>
      </c>
      <c r="F46" s="292" t="n">
        <f aca="false">5_Produccion_Desagregada_09_10!$F$36</f>
        <v>2282</v>
      </c>
      <c r="G46" s="293" t="n">
        <f aca="false">IF(ISERROR(D46/F46),"",D46/F46)</f>
        <v>0.00219106047326906</v>
      </c>
    </row>
    <row collapsed="false" customFormat="false" customHeight="false" hidden="false" ht="14" outlineLevel="0" r="47">
      <c r="B47" s="289" t="str">
        <f aca="false">5_Produccion_Desagregada_09_10!$C$37</f>
        <v>Nefrología</v>
      </c>
      <c r="C47" s="290" t="str">
        <f aca="false">C$34</f>
        <v>Examenes</v>
      </c>
      <c r="D47" s="186" t="n">
        <v>0</v>
      </c>
      <c r="E47" s="291" t="n">
        <f aca="false">IF(ISERROR(D47/$D$44),"",D47/$D$44)</f>
        <v>0</v>
      </c>
      <c r="F47" s="292" t="n">
        <f aca="false">5_Produccion_Desagregada_09_10!$F$37</f>
        <v>323</v>
      </c>
      <c r="G47" s="293" t="n">
        <f aca="false">IF(ISERROR(D47/F47),"",D47/F47)</f>
        <v>0</v>
      </c>
    </row>
    <row collapsed="false" customFormat="false" customHeight="false" hidden="false" ht="14" outlineLevel="0" r="48">
      <c r="B48" s="289" t="str">
        <f aca="false">5_Produccion_Desagregada_09_10!$C$38</f>
        <v>Hematología</v>
      </c>
      <c r="C48" s="290" t="str">
        <f aca="false">C$34</f>
        <v>Examenes</v>
      </c>
      <c r="D48" s="186" t="n">
        <v>0</v>
      </c>
      <c r="E48" s="291" t="n">
        <f aca="false">IF(ISERROR(D48/$D$44),"",D48/$D$44)</f>
        <v>0</v>
      </c>
      <c r="F48" s="292" t="n">
        <f aca="false">5_Produccion_Desagregada_09_10!$F$38</f>
        <v>958</v>
      </c>
      <c r="G48" s="293" t="n">
        <f aca="false">IF(ISERROR(D48/F48),"",D48/F48)</f>
        <v>0</v>
      </c>
    </row>
    <row collapsed="false" customFormat="false" customHeight="false" hidden="false" ht="14" outlineLevel="0" r="49">
      <c r="B49" s="289" t="str">
        <f aca="false">5_Produccion_Desagregada_09_10!$C$39</f>
        <v>Oncología</v>
      </c>
      <c r="C49" s="290" t="str">
        <f aca="false">C$34</f>
        <v>Examenes</v>
      </c>
      <c r="D49" s="186" t="n">
        <v>0</v>
      </c>
      <c r="E49" s="291" t="n">
        <f aca="false">IF(ISERROR(D49/$D$44),"",D49/$D$44)</f>
        <v>0</v>
      </c>
      <c r="F49" s="292" t="n">
        <f aca="false">5_Produccion_Desagregada_09_10!$F$39</f>
        <v>708</v>
      </c>
      <c r="G49" s="293" t="n">
        <f aca="false">IF(ISERROR(D49/F49),"",D49/F49)</f>
        <v>0</v>
      </c>
    </row>
    <row collapsed="false" customFormat="false" customHeight="false" hidden="false" ht="14" outlineLevel="0" r="50">
      <c r="B50" s="289" t="str">
        <f aca="false">5_Produccion_Desagregada_09_10!$C$40</f>
        <v>Neonatología</v>
      </c>
      <c r="C50" s="290" t="str">
        <f aca="false">C$34</f>
        <v>Examenes</v>
      </c>
      <c r="D50" s="186" t="n">
        <f aca="false">83+24</f>
        <v>107</v>
      </c>
      <c r="E50" s="291" t="n">
        <f aca="false">IF(ISERROR(D50/$D$44),"",D50/$D$44)</f>
        <v>0.891666666666667</v>
      </c>
      <c r="F50" s="292" t="n">
        <f aca="false">5_Produccion_Desagregada_09_10!$F$40</f>
        <v>711</v>
      </c>
      <c r="G50" s="293" t="n">
        <f aca="false">IF(ISERROR(D50/F50),"",D50/F50)</f>
        <v>0.150492264416315</v>
      </c>
    </row>
    <row collapsed="false" customFormat="false" customHeight="false" hidden="false" ht="14" outlineLevel="0" r="51">
      <c r="B51" s="289" t="str">
        <f aca="false">5_Produccion_Desagregada_09_10!$C$42</f>
        <v>Cirugía General</v>
      </c>
      <c r="C51" s="290" t="str">
        <f aca="false">C$34</f>
        <v>Examenes</v>
      </c>
      <c r="D51" s="186" t="n">
        <v>0</v>
      </c>
      <c r="E51" s="291" t="n">
        <f aca="false">IF(ISERROR(D51/$D$44),"",D51/$D$44)</f>
        <v>0</v>
      </c>
      <c r="F51" s="292" t="n">
        <f aca="false">5_Produccion_Desagregada_09_10!$F$42</f>
        <v>2410</v>
      </c>
      <c r="G51" s="293" t="n">
        <f aca="false">IF(ISERROR(D51/F51),"",D51/F51)</f>
        <v>0</v>
      </c>
    </row>
    <row collapsed="false" customFormat="false" customHeight="false" hidden="false" ht="14" outlineLevel="0" r="52">
      <c r="B52" s="289" t="str">
        <f aca="false">5_Produccion_Desagregada_09_10!$C$43</f>
        <v>Cirugía Plastica</v>
      </c>
      <c r="C52" s="290" t="str">
        <f aca="false">C$34</f>
        <v>Examenes</v>
      </c>
      <c r="D52" s="186" t="n">
        <v>0</v>
      </c>
      <c r="E52" s="291" t="n">
        <f aca="false">IF(ISERROR(D52/$D$44),"",D52/$D$44)</f>
        <v>0</v>
      </c>
      <c r="F52" s="292" t="n">
        <f aca="false">5_Produccion_Desagregada_09_10!$F$43</f>
        <v>962</v>
      </c>
      <c r="G52" s="293" t="n">
        <f aca="false">IF(ISERROR(D52/F52),"",D52/F52)</f>
        <v>0</v>
      </c>
    </row>
    <row collapsed="false" customFormat="false" customHeight="false" hidden="false" ht="14" outlineLevel="0" r="53">
      <c r="B53" s="289" t="str">
        <f aca="false">5_Produccion_Desagregada_09_10!$C$44</f>
        <v>Neurocirugía</v>
      </c>
      <c r="C53" s="290" t="str">
        <f aca="false">C$34</f>
        <v>Examenes</v>
      </c>
      <c r="D53" s="186" t="n">
        <v>0</v>
      </c>
      <c r="E53" s="291" t="n">
        <f aca="false">IF(ISERROR(D53/$D$44),"",D53/$D$44)</f>
        <v>0</v>
      </c>
      <c r="F53" s="292" t="n">
        <f aca="false">5_Produccion_Desagregada_09_10!$F$44</f>
        <v>1152</v>
      </c>
      <c r="G53" s="293" t="n">
        <f aca="false">IF(ISERROR(D53/F53),"",D53/F53)</f>
        <v>0</v>
      </c>
    </row>
    <row collapsed="false" customFormat="false" customHeight="false" hidden="false" ht="14" outlineLevel="0" r="54">
      <c r="B54" s="289" t="str">
        <f aca="false">5_Produccion_Desagregada_09_10!$C$45</f>
        <v>Oftalmología</v>
      </c>
      <c r="C54" s="290" t="str">
        <f aca="false">C$34</f>
        <v>Examenes</v>
      </c>
      <c r="D54" s="186" t="n">
        <v>0</v>
      </c>
      <c r="E54" s="291" t="n">
        <f aca="false">IF(ISERROR(D54/$D$44),"",D54/$D$44)</f>
        <v>0</v>
      </c>
      <c r="F54" s="292" t="n">
        <f aca="false">5_Produccion_Desagregada_09_10!$F$45</f>
        <v>905</v>
      </c>
      <c r="G54" s="293" t="n">
        <f aca="false">IF(ISERROR(D54/F54),"",D54/F54)</f>
        <v>0</v>
      </c>
    </row>
    <row collapsed="false" customFormat="false" customHeight="false" hidden="false" ht="14" outlineLevel="0" r="55">
      <c r="B55" s="289" t="str">
        <f aca="false">5_Produccion_Desagregada_09_10!$C$46</f>
        <v>Otorrinolaringología</v>
      </c>
      <c r="C55" s="290" t="str">
        <f aca="false">C$34</f>
        <v>Examenes</v>
      </c>
      <c r="D55" s="186" t="n">
        <v>0</v>
      </c>
      <c r="E55" s="291" t="n">
        <f aca="false">IF(ISERROR(D55/$D$44),"",D55/$D$44)</f>
        <v>0</v>
      </c>
      <c r="F55" s="292" t="n">
        <f aca="false">5_Produccion_Desagregada_09_10!$F$46</f>
        <v>1131</v>
      </c>
      <c r="G55" s="293" t="n">
        <f aca="false">IF(ISERROR(D55/F55),"",D55/F55)</f>
        <v>0</v>
      </c>
    </row>
    <row collapsed="false" customFormat="false" customHeight="false" hidden="false" ht="14" outlineLevel="0" r="56">
      <c r="B56" s="289" t="str">
        <f aca="false">5_Produccion_Desagregada_09_10!$C$47</f>
        <v>Ortopedia</v>
      </c>
      <c r="C56" s="290" t="str">
        <f aca="false">C$34</f>
        <v>Examenes</v>
      </c>
      <c r="D56" s="186" t="n">
        <v>0</v>
      </c>
      <c r="E56" s="291" t="n">
        <f aca="false">IF(ISERROR(D56/$D$44),"",D56/$D$44)</f>
        <v>0</v>
      </c>
      <c r="F56" s="292" t="n">
        <f aca="false">5_Produccion_Desagregada_09_10!$F$47</f>
        <v>706</v>
      </c>
      <c r="G56" s="293" t="n">
        <f aca="false">IF(ISERROR(D56/F56),"",D56/F56)</f>
        <v>0</v>
      </c>
    </row>
    <row collapsed="false" customFormat="false" customHeight="false" hidden="false" ht="14" outlineLevel="0" r="57">
      <c r="B57" s="289" t="str">
        <f aca="false">5_Produccion_Desagregada_09_10!$C$48</f>
        <v>Otros Servicios (Convenios / BM / ISSS)</v>
      </c>
      <c r="C57" s="290" t="str">
        <f aca="false">C$34</f>
        <v>Examenes</v>
      </c>
      <c r="D57" s="186" t="n">
        <v>0</v>
      </c>
      <c r="E57" s="291" t="n">
        <f aca="false">IF(ISERROR(D57/$D$44),"",D57/$D$44)</f>
        <v>0</v>
      </c>
      <c r="F57" s="292" t="n">
        <f aca="false">5_Produccion_Desagregada_09_10!$F$48</f>
        <v>1073</v>
      </c>
      <c r="G57" s="293" t="n">
        <f aca="false">IF(ISERROR(D57/F57),"",D57/F57)</f>
        <v>0</v>
      </c>
    </row>
    <row collapsed="false" customFormat="false" customHeight="false" hidden="false" ht="14" outlineLevel="0" r="58">
      <c r="B58" s="298" t="str">
        <f aca="false">5_Produccion_Desagregada_09_10!$C$54</f>
        <v>Cuidados Criticos</v>
      </c>
      <c r="C58" s="299"/>
      <c r="D58" s="300" t="n">
        <f aca="false">SUM(D59:D61)</f>
        <v>8</v>
      </c>
      <c r="E58" s="299" t="inlineStr">
        <f aca="false">SUM(E59:E61)</f>
        <is>
          <t/>
        </is>
      </c>
      <c r="F58" s="300" t="n">
        <f aca="false">SUM(F59:F61)</f>
        <v>1642</v>
      </c>
      <c r="G58" s="301"/>
    </row>
    <row collapsed="false" customFormat="false" customHeight="false" hidden="false" ht="14" outlineLevel="0" r="59">
      <c r="B59" s="289" t="str">
        <f aca="false">5_Produccion_Desagregada_09_10!$C$55</f>
        <v>Unidad de Cuidados Intensivos</v>
      </c>
      <c r="C59" s="290" t="str">
        <f aca="false">C$34</f>
        <v>Examenes</v>
      </c>
      <c r="D59" s="305" t="n">
        <v>6</v>
      </c>
      <c r="E59" s="291" t="n">
        <f aca="false">IF(ISERROR(D59/$D$58),"",D59/$D$58)</f>
        <v>0.75</v>
      </c>
      <c r="F59" s="292" t="n">
        <f aca="false">5_Produccion_Desagregada_09_10!$F$55</f>
        <v>926</v>
      </c>
      <c r="G59" s="293" t="n">
        <f aca="false">IF(ISERROR(D59/F59),"",D59/F59)</f>
        <v>0.00647948164146868</v>
      </c>
    </row>
    <row collapsed="false" customFormat="false" customHeight="false" hidden="false" ht="14" outlineLevel="0" r="60">
      <c r="B60" s="289" t="str">
        <f aca="false">5_Produccion_Desagregada_09_10!$C$56</f>
        <v>Unidad de Cuidados Intermedios</v>
      </c>
      <c r="C60" s="290" t="str">
        <f aca="false">C$34</f>
        <v>Examenes</v>
      </c>
      <c r="D60" s="305" t="n">
        <v>1</v>
      </c>
      <c r="E60" s="291" t="n">
        <f aca="false">IF(ISERROR(D60/$D$58),"",D60/$D$58)</f>
        <v>0.125</v>
      </c>
      <c r="F60" s="292" t="n">
        <f aca="false">5_Produccion_Desagregada_09_10!$F$56</f>
        <v>247</v>
      </c>
      <c r="G60" s="293" t="n">
        <f aca="false">IF(ISERROR(D60/F60),"",D60/F60)</f>
        <v>0.00404858299595142</v>
      </c>
    </row>
    <row collapsed="false" customFormat="false" customHeight="false" hidden="false" ht="14" outlineLevel="0" r="61">
      <c r="B61" s="302" t="str">
        <f aca="false">5_Produccion_Desagregada_09_10!$C$57</f>
        <v>Unidad de Cuidados Intensivos Neonatales</v>
      </c>
      <c r="C61" s="290" t="str">
        <f aca="false">C$34</f>
        <v>Examenes</v>
      </c>
      <c r="D61" s="306" t="n">
        <v>1</v>
      </c>
      <c r="E61" s="291" t="n">
        <f aca="false">IF(ISERROR(D61/$D$58),"",D61/$D$58)</f>
        <v>0.125</v>
      </c>
      <c r="F61" s="303" t="n">
        <f aca="false">5_Produccion_Desagregada_09_10!$F$57</f>
        <v>469</v>
      </c>
      <c r="G61" s="304" t="n">
        <f aca="false">IF(ISERROR(D61/F61),"",D61/F61)</f>
        <v>0.00213219616204691</v>
      </c>
    </row>
    <row collapsed="false" customFormat="false" customHeight="false" hidden="false" ht="20.85" outlineLevel="0" r="62">
      <c r="A62" s="269" t="n">
        <v>1.3</v>
      </c>
      <c r="B62" s="281" t="s">
        <v>449</v>
      </c>
      <c r="C62" s="282" t="s">
        <v>450</v>
      </c>
      <c r="D62" s="282" t="str">
        <f aca="false">"Cantidad "&amp;C62&amp;" 2010"</f>
        <v>Cantidad Unidades de Sangre 2010</v>
      </c>
      <c r="E62" s="282" t="str">
        <f aca="false">"Porcentaje "&amp;C62&amp;" 2010"</f>
        <v>Porcentaje Unidades de Sangre 2010</v>
      </c>
      <c r="F62" s="282" t="s">
        <v>447</v>
      </c>
      <c r="G62" s="283" t="str">
        <f aca="false">C62&amp;" por Servicio Final"</f>
        <v>Unidades de Sangre por Servicio Final</v>
      </c>
    </row>
    <row collapsed="false" customFormat="false" customHeight="false" hidden="false" ht="14" outlineLevel="0" r="63">
      <c r="B63" s="284" t="str">
        <f aca="false">5_Produccion_Desagregada_09_10!$C$5</f>
        <v>Servicios Ambulatorios</v>
      </c>
      <c r="C63" s="285"/>
      <c r="D63" s="286" t="n">
        <f aca="false">SUM(D64:D70)</f>
        <v>1804</v>
      </c>
      <c r="E63" s="287" t="inlineStr">
        <f aca="false">SUM(E64:E70)</f>
        <is>
          <t/>
        </is>
      </c>
      <c r="F63" s="286" t="n">
        <f aca="false">SUM(F65:F70)</f>
        <v>248597</v>
      </c>
      <c r="G63" s="288"/>
    </row>
    <row collapsed="false" customFormat="false" customHeight="false" hidden="false" ht="14" outlineLevel="0" r="64">
      <c r="B64" s="289" t="str">
        <f aca="false">5_Produccion_Desagregada_09_10!$C$7</f>
        <v>Consulta General </v>
      </c>
      <c r="C64" s="290" t="str">
        <f aca="false">C$62</f>
        <v>Unidades de Sangre</v>
      </c>
      <c r="D64" s="305" t="n">
        <v>0</v>
      </c>
      <c r="E64" s="291" t="n">
        <f aca="false">IF(ISERROR(D64/$D$63),"",D64/$D$63)</f>
        <v>0</v>
      </c>
      <c r="F64" s="292" t="n">
        <f aca="false">5_Produccion_Desagregada_09_10!$F$7</f>
        <v>0</v>
      </c>
      <c r="G64" s="293" t="str">
        <f aca="false">IF(ISERROR(D64/F64),"",D64/F64)</f>
        <v/>
      </c>
    </row>
    <row collapsed="false" customFormat="false" customHeight="false" hidden="false" ht="14" outlineLevel="0" r="65">
      <c r="B65" s="289" t="str">
        <f aca="false">5_Produccion_Desagregada_09_10!$C$9</f>
        <v>Consultas de Especializadades Básicas</v>
      </c>
      <c r="C65" s="290" t="str">
        <f aca="false">C$62</f>
        <v>Unidades de Sangre</v>
      </c>
      <c r="D65" s="305" t="n">
        <v>0</v>
      </c>
      <c r="E65" s="291" t="n">
        <f aca="false">IF(ISERROR(D65/$D$63),"",D65/$D$63)</f>
        <v>0</v>
      </c>
      <c r="F65" s="292" t="n">
        <f aca="false">5_Produccion_Desagregada_09_10!$F$9</f>
        <v>0</v>
      </c>
      <c r="G65" s="293" t="str">
        <f aca="false">IF(ISERROR(D65/F65),"",D65/F65)</f>
        <v/>
      </c>
    </row>
    <row collapsed="false" customFormat="false" customHeight="false" hidden="false" ht="14" outlineLevel="0" r="66">
      <c r="B66" s="289" t="str">
        <f aca="false">5_Produccion_Desagregada_09_10!$C$12</f>
        <v>Consultas de Sub Especializadades</v>
      </c>
      <c r="C66" s="290" t="str">
        <f aca="false">C$62</f>
        <v>Unidades de Sangre</v>
      </c>
      <c r="D66" s="305" t="n">
        <v>938</v>
      </c>
      <c r="E66" s="291" t="n">
        <f aca="false">IF(ISERROR(D66/$D$63),"",D66/$D$63)</f>
        <v>0.519955654101995</v>
      </c>
      <c r="F66" s="292" t="n">
        <f aca="false">5_Produccion_Desagregada_09_10!$F$12</f>
        <v>207721</v>
      </c>
      <c r="G66" s="293" t="n">
        <f aca="false">IF(ISERROR(D66/F66),"",D66/F66)</f>
        <v>0.00451567246450768</v>
      </c>
    </row>
    <row collapsed="false" customFormat="false" customHeight="false" hidden="false" ht="14" outlineLevel="0" r="67">
      <c r="B67" s="289" t="str">
        <f aca="false">5_Produccion_Desagregada_09_10!$C$17</f>
        <v>Consultas de Emergencia de Medicina Interna Pediatrica</v>
      </c>
      <c r="C67" s="290" t="str">
        <f aca="false">C$62</f>
        <v>Unidades de Sangre</v>
      </c>
      <c r="D67" s="305" t="n">
        <v>0</v>
      </c>
      <c r="E67" s="291" t="n">
        <f aca="false">IF(ISERROR(D67/$D$63),"",D67/$D$63)</f>
        <v>0</v>
      </c>
      <c r="F67" s="292" t="n">
        <f aca="false">5_Produccion_Desagregada_09_10!$F$17</f>
        <v>9804</v>
      </c>
      <c r="G67" s="293" t="n">
        <f aca="false">IF(ISERROR(D67/F67),"",D67/F67)</f>
        <v>0</v>
      </c>
    </row>
    <row collapsed="false" customFormat="false" customHeight="false" hidden="false" ht="14" outlineLevel="0" r="68">
      <c r="B68" s="289" t="str">
        <f aca="false">5_Produccion_Desagregada_09_10!$C$18</f>
        <v>Consultas de Emergencia de Cirugia General Pediatrica</v>
      </c>
      <c r="C68" s="290" t="str">
        <f aca="false">C$62</f>
        <v>Unidades de Sangre</v>
      </c>
      <c r="D68" s="305" t="n">
        <v>866</v>
      </c>
      <c r="E68" s="291" t="n">
        <f aca="false">IF(ISERROR(D68/$D$63),"",D68/$D$63)</f>
        <v>0.480044345898004</v>
      </c>
      <c r="F68" s="292" t="n">
        <f aca="false">5_Produccion_Desagregada_09_10!$F$18</f>
        <v>13464</v>
      </c>
      <c r="G68" s="293" t="n">
        <f aca="false">IF(ISERROR(D68/F68),"",D68/F68)</f>
        <v>0.0643196672608437</v>
      </c>
    </row>
    <row collapsed="false" customFormat="false" customHeight="false" hidden="false" ht="14" outlineLevel="0" r="69">
      <c r="B69" s="289" t="str">
        <f aca="false">5_Produccion_Desagregada_09_10!$C$20</f>
        <v>Consulta de Odontologia General</v>
      </c>
      <c r="C69" s="290" t="str">
        <f aca="false">C$62</f>
        <v>Unidades de Sangre</v>
      </c>
      <c r="D69" s="305" t="n">
        <v>0</v>
      </c>
      <c r="E69" s="291" t="n">
        <f aca="false">IF(ISERROR(D69/$D$63),"",D69/$D$63)</f>
        <v>0</v>
      </c>
      <c r="F69" s="292" t="n">
        <f aca="false">5_Produccion_Desagregada_09_10!$F$20</f>
        <v>16487</v>
      </c>
      <c r="G69" s="293" t="n">
        <f aca="false">IF(ISERROR(D69/F69),"",D69/F69)</f>
        <v>0</v>
      </c>
    </row>
    <row collapsed="false" customFormat="false" customHeight="false" hidden="false" ht="14" outlineLevel="0" r="70">
      <c r="B70" s="289" t="str">
        <f aca="false">5_Produccion_Desagregada_09_10!$C$21</f>
        <v>Consulta de Ortodoncia</v>
      </c>
      <c r="C70" s="290" t="str">
        <f aca="false">C$62</f>
        <v>Unidades de Sangre</v>
      </c>
      <c r="D70" s="305" t="n">
        <v>0</v>
      </c>
      <c r="E70" s="291" t="n">
        <f aca="false">IF(ISERROR(D70/$D$63),"",D70/$D$63)</f>
        <v>0</v>
      </c>
      <c r="F70" s="292" t="n">
        <f aca="false">5_Produccion_Desagregada_09_10!$F$21</f>
        <v>1121</v>
      </c>
      <c r="G70" s="293" t="n">
        <f aca="false">IF(ISERROR(D70/F70),"",D70/F70)</f>
        <v>0</v>
      </c>
    </row>
    <row collapsed="false" customFormat="false" customHeight="false" hidden="false" ht="14" outlineLevel="0" r="71">
      <c r="B71" s="294" t="str">
        <f aca="false">5_Produccion_Desagregada_09_10!$C$32</f>
        <v>Servicios Hospitalarios </v>
      </c>
      <c r="C71" s="295"/>
      <c r="D71" s="296" t="n">
        <f aca="false">SUM(D72,D87)</f>
        <v>18990</v>
      </c>
      <c r="E71" s="295"/>
      <c r="F71" s="296" t="n">
        <f aca="false">SUM(F72,F87)</f>
        <v>15353</v>
      </c>
      <c r="G71" s="297"/>
    </row>
    <row collapsed="false" customFormat="false" customHeight="false" hidden="false" ht="14" outlineLevel="0" r="72">
      <c r="B72" s="298" t="str">
        <f aca="false">5_Produccion_Desagregada_09_10!$C$33</f>
        <v>Egresos</v>
      </c>
      <c r="C72" s="299"/>
      <c r="D72" s="300" t="n">
        <f aca="false">SUM(D73:D85)</f>
        <v>15339</v>
      </c>
      <c r="E72" s="299" t="inlineStr">
        <f aca="false">SUM(E73:E85)</f>
        <is>
          <t/>
        </is>
      </c>
      <c r="F72" s="300" t="n">
        <f aca="false">SUM(F73:F85)</f>
        <v>14427</v>
      </c>
      <c r="G72" s="301"/>
    </row>
    <row collapsed="false" customFormat="false" customHeight="false" hidden="false" ht="14" outlineLevel="0" r="73">
      <c r="B73" s="289" t="str">
        <f aca="false">5_Produccion_Desagregada_09_10!$C$35</f>
        <v>Medicina Interna </v>
      </c>
      <c r="C73" s="290" t="str">
        <f aca="false">C$62</f>
        <v>Unidades de Sangre</v>
      </c>
      <c r="D73" s="186" t="n">
        <v>1133</v>
      </c>
      <c r="E73" s="291" t="n">
        <f aca="false">IF(ISERROR(D73/$D$72),"",D73/$D$72)</f>
        <v>0.073864006780103</v>
      </c>
      <c r="F73" s="292" t="n">
        <f aca="false">5_Produccion_Desagregada_09_10!$F$35</f>
        <v>1106</v>
      </c>
      <c r="G73" s="293" t="n">
        <f aca="false">IF(ISERROR(D73/F73),"",D73/F73)</f>
        <v>1.0244122965642</v>
      </c>
    </row>
    <row collapsed="false" customFormat="false" customHeight="false" hidden="false" ht="14" outlineLevel="0" r="74">
      <c r="B74" s="289" t="str">
        <f aca="false">5_Produccion_Desagregada_09_10!$C$36</f>
        <v>Infectología</v>
      </c>
      <c r="C74" s="290" t="str">
        <f aca="false">C$62</f>
        <v>Unidades de Sangre</v>
      </c>
      <c r="D74" s="186" t="n">
        <v>1836</v>
      </c>
      <c r="E74" s="291" t="n">
        <f aca="false">IF(ISERROR(D74/$D$72),"",D74/$D$72)</f>
        <v>0.119694895364756</v>
      </c>
      <c r="F74" s="292" t="n">
        <f aca="false">5_Produccion_Desagregada_09_10!$F$36</f>
        <v>2282</v>
      </c>
      <c r="G74" s="293" t="n">
        <f aca="false">IF(ISERROR(D74/F74),"",D74/F74)</f>
        <v>0.8045574057844</v>
      </c>
    </row>
    <row collapsed="false" customFormat="false" customHeight="false" hidden="false" ht="14" outlineLevel="0" r="75">
      <c r="B75" s="289" t="str">
        <f aca="false">5_Produccion_Desagregada_09_10!$C$37</f>
        <v>Nefrología</v>
      </c>
      <c r="C75" s="290" t="str">
        <f aca="false">C$62</f>
        <v>Unidades de Sangre</v>
      </c>
      <c r="D75" s="186" t="n">
        <v>222</v>
      </c>
      <c r="E75" s="291" t="n">
        <f aca="false">IF(ISERROR(D75/$D$72),"",D75/$D$72)</f>
        <v>0.0144729121846274</v>
      </c>
      <c r="F75" s="292" t="n">
        <f aca="false">5_Produccion_Desagregada_09_10!$F$37</f>
        <v>323</v>
      </c>
      <c r="G75" s="293" t="n">
        <f aca="false">IF(ISERROR(D75/F75),"",D75/F75)</f>
        <v>0.687306501547988</v>
      </c>
    </row>
    <row collapsed="false" customFormat="false" customHeight="false" hidden="false" ht="14" outlineLevel="0" r="76">
      <c r="B76" s="289" t="str">
        <f aca="false">5_Produccion_Desagregada_09_10!$C$38</f>
        <v>Hematología</v>
      </c>
      <c r="C76" s="290" t="str">
        <f aca="false">C$62</f>
        <v>Unidades de Sangre</v>
      </c>
      <c r="D76" s="186" t="n">
        <v>1848</v>
      </c>
      <c r="E76" s="291" t="n">
        <f aca="false">IF(ISERROR(D76/$D$72),"",D76/$D$72)</f>
        <v>0.120477214942304</v>
      </c>
      <c r="F76" s="292" t="n">
        <f aca="false">5_Produccion_Desagregada_09_10!$F$38</f>
        <v>958</v>
      </c>
      <c r="G76" s="293" t="n">
        <f aca="false">IF(ISERROR(D76/F76),"",D76/F76)</f>
        <v>1.92901878914405</v>
      </c>
    </row>
    <row collapsed="false" customFormat="false" customHeight="false" hidden="false" ht="14" outlineLevel="0" r="77">
      <c r="B77" s="289" t="str">
        <f aca="false">5_Produccion_Desagregada_09_10!$C$39</f>
        <v>Oncología</v>
      </c>
      <c r="C77" s="290" t="str">
        <f aca="false">C$62</f>
        <v>Unidades de Sangre</v>
      </c>
      <c r="D77" s="186" t="n">
        <v>8679</v>
      </c>
      <c r="E77" s="291" t="n">
        <f aca="false">IF(ISERROR(D77/$D$72),"",D77/$D$72)</f>
        <v>0.565812634461177</v>
      </c>
      <c r="F77" s="292" t="n">
        <f aca="false">5_Produccion_Desagregada_09_10!$F$39</f>
        <v>708</v>
      </c>
      <c r="G77" s="293" t="n">
        <f aca="false">IF(ISERROR(D77/F77),"",D77/F77)</f>
        <v>12.2584745762712</v>
      </c>
    </row>
    <row collapsed="false" customFormat="false" customHeight="false" hidden="false" ht="14" outlineLevel="0" r="78">
      <c r="B78" s="289" t="str">
        <f aca="false">5_Produccion_Desagregada_09_10!$C$40</f>
        <v>Neonatología</v>
      </c>
      <c r="C78" s="290" t="str">
        <f aca="false">C$62</f>
        <v>Unidades de Sangre</v>
      </c>
      <c r="D78" s="186" t="n">
        <v>969</v>
      </c>
      <c r="E78" s="291" t="n">
        <f aca="false">IF(ISERROR(D78/$D$72),"",D78/$D$72)</f>
        <v>0.0631723058869548</v>
      </c>
      <c r="F78" s="292" t="n">
        <f aca="false">5_Produccion_Desagregada_09_10!$F$40</f>
        <v>711</v>
      </c>
      <c r="G78" s="293" t="n">
        <f aca="false">IF(ISERROR(D78/F78),"",D78/F78)</f>
        <v>1.36286919831224</v>
      </c>
    </row>
    <row collapsed="false" customFormat="false" customHeight="false" hidden="false" ht="14" outlineLevel="0" r="79">
      <c r="B79" s="289" t="str">
        <f aca="false">5_Produccion_Desagregada_09_10!$C$42</f>
        <v>Cirugía General</v>
      </c>
      <c r="C79" s="290" t="str">
        <f aca="false">C$62</f>
        <v>Unidades de Sangre</v>
      </c>
      <c r="D79" s="186" t="n">
        <v>87</v>
      </c>
      <c r="E79" s="291" t="n">
        <f aca="false">IF(ISERROR(D79/$D$72),"",D79/$D$72)</f>
        <v>0.00567181693721885</v>
      </c>
      <c r="F79" s="292" t="n">
        <f aca="false">5_Produccion_Desagregada_09_10!$F$42</f>
        <v>2410</v>
      </c>
      <c r="G79" s="293" t="n">
        <f aca="false">IF(ISERROR(D79/F79),"",D79/F79)</f>
        <v>0.0360995850622407</v>
      </c>
    </row>
    <row collapsed="false" customFormat="false" customHeight="false" hidden="false" ht="14" outlineLevel="0" r="80">
      <c r="B80" s="289" t="str">
        <f aca="false">5_Produccion_Desagregada_09_10!$C$43</f>
        <v>Cirugía Plastica</v>
      </c>
      <c r="C80" s="290" t="str">
        <f aca="false">C$62</f>
        <v>Unidades de Sangre</v>
      </c>
      <c r="D80" s="186" t="n">
        <v>270</v>
      </c>
      <c r="E80" s="291" t="n">
        <f aca="false">IF(ISERROR(D80/$D$72),"",D80/$D$72)</f>
        <v>0.0176021904948171</v>
      </c>
      <c r="F80" s="292" t="n">
        <f aca="false">5_Produccion_Desagregada_09_10!$F$43</f>
        <v>962</v>
      </c>
      <c r="G80" s="293" t="n">
        <f aca="false">IF(ISERROR(D80/F80),"",D80/F80)</f>
        <v>0.280665280665281</v>
      </c>
    </row>
    <row collapsed="false" customFormat="false" customHeight="false" hidden="false" ht="14" outlineLevel="0" r="81">
      <c r="B81" s="289" t="str">
        <f aca="false">5_Produccion_Desagregada_09_10!$C$44</f>
        <v>Neurocirugía</v>
      </c>
      <c r="C81" s="290" t="str">
        <f aca="false">C$62</f>
        <v>Unidades de Sangre</v>
      </c>
      <c r="D81" s="186" t="n">
        <v>165</v>
      </c>
      <c r="E81" s="291" t="n">
        <f aca="false">IF(ISERROR(D81/$D$72),"",D81/$D$72)</f>
        <v>0.0107568941912771</v>
      </c>
      <c r="F81" s="292" t="n">
        <f aca="false">5_Produccion_Desagregada_09_10!$F$44</f>
        <v>1152</v>
      </c>
      <c r="G81" s="293" t="n">
        <f aca="false">IF(ISERROR(D81/F81),"",D81/F81)</f>
        <v>0.143229166666667</v>
      </c>
    </row>
    <row collapsed="false" customFormat="false" customHeight="false" hidden="false" ht="14" outlineLevel="0" r="82">
      <c r="B82" s="289" t="str">
        <f aca="false">5_Produccion_Desagregada_09_10!$C$45</f>
        <v>Oftalmología</v>
      </c>
      <c r="C82" s="290" t="str">
        <f aca="false">C$62</f>
        <v>Unidades de Sangre</v>
      </c>
      <c r="D82" s="186" t="n">
        <v>7</v>
      </c>
      <c r="E82" s="291" t="n">
        <f aca="false">IF(ISERROR(D82/$D$72),"",D82/$D$72)</f>
        <v>0.000456353086902666</v>
      </c>
      <c r="F82" s="292" t="n">
        <f aca="false">5_Produccion_Desagregada_09_10!$F$45</f>
        <v>905</v>
      </c>
      <c r="G82" s="293" t="n">
        <f aca="false">IF(ISERROR(D82/F82),"",D82/F82)</f>
        <v>0.00773480662983425</v>
      </c>
    </row>
    <row collapsed="false" customFormat="false" customHeight="false" hidden="false" ht="14" outlineLevel="0" r="83">
      <c r="B83" s="289" t="str">
        <f aca="false">5_Produccion_Desagregada_09_10!$C$46</f>
        <v>Otorrinolaringología</v>
      </c>
      <c r="C83" s="290" t="str">
        <f aca="false">C$62</f>
        <v>Unidades de Sangre</v>
      </c>
      <c r="D83" s="186" t="n">
        <v>39</v>
      </c>
      <c r="E83" s="291" t="n">
        <f aca="false">IF(ISERROR(D83/$D$72),"",D83/$D$72)</f>
        <v>0.00254253862702914</v>
      </c>
      <c r="F83" s="292" t="n">
        <f aca="false">5_Produccion_Desagregada_09_10!$F$46</f>
        <v>1131</v>
      </c>
      <c r="G83" s="293" t="n">
        <f aca="false">IF(ISERROR(D83/F83),"",D83/F83)</f>
        <v>0.0344827586206897</v>
      </c>
    </row>
    <row collapsed="false" customFormat="false" customHeight="false" hidden="false" ht="14" outlineLevel="0" r="84">
      <c r="B84" s="289" t="str">
        <f aca="false">5_Produccion_Desagregada_09_10!$C$47</f>
        <v>Ortopedia</v>
      </c>
      <c r="C84" s="290" t="str">
        <f aca="false">C$62</f>
        <v>Unidades de Sangre</v>
      </c>
      <c r="D84" s="186" t="n">
        <v>73</v>
      </c>
      <c r="E84" s="291" t="n">
        <f aca="false">IF(ISERROR(D84/$D$72),"",D84/$D$72)</f>
        <v>0.00475911076341352</v>
      </c>
      <c r="F84" s="292" t="n">
        <f aca="false">5_Produccion_Desagregada_09_10!$F$47</f>
        <v>706</v>
      </c>
      <c r="G84" s="293" t="n">
        <f aca="false">IF(ISERROR(D84/F84),"",D84/F84)</f>
        <v>0.103399433427762</v>
      </c>
    </row>
    <row collapsed="false" customFormat="false" customHeight="false" hidden="false" ht="14" outlineLevel="0" r="85">
      <c r="B85" s="289" t="str">
        <f aca="false">5_Produccion_Desagregada_09_10!$C$48</f>
        <v>Otros Servicios (Convenios / BM / ISSS)</v>
      </c>
      <c r="C85" s="290" t="str">
        <f aca="false">C$62</f>
        <v>Unidades de Sangre</v>
      </c>
      <c r="D85" s="186" t="n">
        <v>11</v>
      </c>
      <c r="E85" s="291" t="n">
        <f aca="false">IF(ISERROR(D85/$D$72),"",D85/$D$72)</f>
        <v>0.000717126279418476</v>
      </c>
      <c r="F85" s="292" t="n">
        <f aca="false">5_Produccion_Desagregada_09_10!$F$48</f>
        <v>1073</v>
      </c>
      <c r="G85" s="293" t="n">
        <f aca="false">IF(ISERROR(D85/F85),"",D85/F85)</f>
        <v>0.0102516309412861</v>
      </c>
    </row>
    <row collapsed="false" customFormat="false" customHeight="false" hidden="false" ht="14" outlineLevel="0" r="86">
      <c r="B86" s="298" t="str">
        <f aca="false">5_Produccion_Desagregada_09_10!$C$54</f>
        <v>Cuidados Criticos</v>
      </c>
      <c r="C86" s="299"/>
      <c r="D86" s="300" t="n">
        <f aca="false">SUM(D87:D89)</f>
        <v>5451</v>
      </c>
      <c r="E86" s="299" t="inlineStr">
        <f aca="false">SUM(E87:E89)</f>
        <is>
          <t/>
        </is>
      </c>
      <c r="F86" s="300" t="n">
        <f aca="false">SUM(F87:F89)</f>
        <v>1642</v>
      </c>
      <c r="G86" s="301"/>
    </row>
    <row collapsed="false" customFormat="false" customHeight="false" hidden="false" ht="14" outlineLevel="0" r="87">
      <c r="B87" s="289" t="str">
        <f aca="false">5_Produccion_Desagregada_09_10!$C$55</f>
        <v>Unidad de Cuidados Intensivos</v>
      </c>
      <c r="C87" s="290" t="str">
        <f aca="false">C$62</f>
        <v>Unidades de Sangre</v>
      </c>
      <c r="D87" s="305" t="n">
        <v>3651</v>
      </c>
      <c r="E87" s="291" t="n">
        <f aca="false">IF(ISERROR(D87/$D$86),"",D87/$D$86)</f>
        <v>0.669785360484315</v>
      </c>
      <c r="F87" s="292" t="n">
        <f aca="false">5_Produccion_Desagregada_09_10!$F$55</f>
        <v>926</v>
      </c>
      <c r="G87" s="293" t="n">
        <f aca="false">IF(ISERROR(D87/F87),"",D87/F87)</f>
        <v>3.94276457883369</v>
      </c>
    </row>
    <row collapsed="false" customFormat="false" customHeight="false" hidden="false" ht="14" outlineLevel="0" r="88">
      <c r="B88" s="289" t="str">
        <f aca="false">5_Produccion_Desagregada_09_10!$C$56</f>
        <v>Unidad de Cuidados Intermedios</v>
      </c>
      <c r="C88" s="290" t="str">
        <f aca="false">C$62</f>
        <v>Unidades de Sangre</v>
      </c>
      <c r="D88" s="305" t="n">
        <v>711</v>
      </c>
      <c r="E88" s="291" t="n">
        <f aca="false">IF(ISERROR(D88/$D$86),"",D88/$D$86)</f>
        <v>0.130434782608696</v>
      </c>
      <c r="F88" s="292" t="n">
        <f aca="false">5_Produccion_Desagregada_09_10!$F$56</f>
        <v>247</v>
      </c>
      <c r="G88" s="293" t="n">
        <f aca="false">IF(ISERROR(D88/F88),"",D88/F88)</f>
        <v>2.87854251012146</v>
      </c>
    </row>
    <row collapsed="false" customFormat="false" customHeight="false" hidden="false" ht="14" outlineLevel="0" r="89">
      <c r="B89" s="302" t="str">
        <f aca="false">5_Produccion_Desagregada_09_10!$C$57</f>
        <v>Unidad de Cuidados Intensivos Neonatales</v>
      </c>
      <c r="C89" s="290" t="str">
        <f aca="false">C$62</f>
        <v>Unidades de Sangre</v>
      </c>
      <c r="D89" s="306" t="n">
        <v>1089</v>
      </c>
      <c r="E89" s="291" t="n">
        <f aca="false">IF(ISERROR(D89/$D$86),"",D89/$D$86)</f>
        <v>0.19977985690699</v>
      </c>
      <c r="F89" s="303" t="n">
        <f aca="false">5_Produccion_Desagregada_09_10!$F$57</f>
        <v>469</v>
      </c>
      <c r="G89" s="304" t="n">
        <f aca="false">IF(ISERROR(D89/F89),"",D89/F89)</f>
        <v>2.32196162046908</v>
      </c>
    </row>
    <row collapsed="false" customFormat="false" customHeight="false" hidden="false" ht="14" outlineLevel="0" r="90">
      <c r="A90" s="269" t="n">
        <v>2</v>
      </c>
      <c r="B90" s="277" t="s">
        <v>451</v>
      </c>
      <c r="C90" s="278"/>
      <c r="D90" s="279"/>
      <c r="E90" s="278"/>
      <c r="F90" s="278"/>
      <c r="G90" s="280"/>
    </row>
    <row collapsed="false" customFormat="false" customHeight="false" hidden="false" ht="20.85" outlineLevel="0" r="91">
      <c r="A91" s="269" t="n">
        <v>2.1</v>
      </c>
      <c r="B91" s="281" t="s">
        <v>452</v>
      </c>
      <c r="C91" s="282" t="s">
        <v>453</v>
      </c>
      <c r="D91" s="282" t="str">
        <f aca="false">"Cantidad "&amp;C91&amp;" 2010"</f>
        <v>Cantidad Estudios 2010</v>
      </c>
      <c r="E91" s="282" t="str">
        <f aca="false">"Porcentaje "&amp;C91&amp;" 2010"</f>
        <v>Porcentaje Estudios 2010</v>
      </c>
      <c r="F91" s="282" t="s">
        <v>447</v>
      </c>
      <c r="G91" s="283" t="str">
        <f aca="false">C91&amp;" por Servicio Final"</f>
        <v>Estudios por Servicio Final</v>
      </c>
    </row>
    <row collapsed="false" customFormat="false" customHeight="false" hidden="false" ht="14" outlineLevel="0" r="92">
      <c r="B92" s="284" t="str">
        <f aca="false">5_Produccion_Desagregada_09_10!$C$5</f>
        <v>Servicios Ambulatorios</v>
      </c>
      <c r="C92" s="285"/>
      <c r="D92" s="286" t="n">
        <f aca="false">SUM(D93:D99)</f>
        <v>48653</v>
      </c>
      <c r="E92" s="287" t="inlineStr">
        <f aca="false">SUM(E93:E99)</f>
        <is>
          <t/>
        </is>
      </c>
      <c r="F92" s="286" t="n">
        <f aca="false">SUM(F94:F99)</f>
        <v>248597</v>
      </c>
      <c r="G92" s="288"/>
    </row>
    <row collapsed="false" customFormat="false" customHeight="false" hidden="false" ht="14" outlineLevel="0" r="93">
      <c r="B93" s="289" t="str">
        <f aca="false">5_Produccion_Desagregada_09_10!$C$7</f>
        <v>Consulta General </v>
      </c>
      <c r="C93" s="290" t="str">
        <f aca="false">C$91</f>
        <v>Estudios</v>
      </c>
      <c r="D93" s="305" t="n">
        <v>0</v>
      </c>
      <c r="E93" s="291" t="n">
        <f aca="false">IF(ISERROR(D93/$D$92),"",D93/$D$92)</f>
        <v>0</v>
      </c>
      <c r="F93" s="292" t="n">
        <f aca="false">5_Produccion_Desagregada_09_10!$F$7</f>
        <v>0</v>
      </c>
      <c r="G93" s="293" t="str">
        <f aca="false">IF(ISERROR(D93/F93),"",D93/F93)</f>
        <v/>
      </c>
    </row>
    <row collapsed="false" customFormat="false" customHeight="false" hidden="false" ht="14" outlineLevel="0" r="94">
      <c r="B94" s="289" t="str">
        <f aca="false">5_Produccion_Desagregada_09_10!$C$9</f>
        <v>Consultas de Especializadades Básicas</v>
      </c>
      <c r="C94" s="290" t="str">
        <f aca="false">C$91</f>
        <v>Estudios</v>
      </c>
      <c r="D94" s="305" t="n">
        <v>0</v>
      </c>
      <c r="E94" s="291" t="n">
        <f aca="false">IF(ISERROR(D94/$D$92),"",D94/$D$92)</f>
        <v>0</v>
      </c>
      <c r="F94" s="292" t="n">
        <f aca="false">5_Produccion_Desagregada_09_10!$F$9</f>
        <v>0</v>
      </c>
      <c r="G94" s="293" t="str">
        <f aca="false">IF(ISERROR(D94/F94),"",D94/F94)</f>
        <v/>
      </c>
    </row>
    <row collapsed="false" customFormat="false" customHeight="false" hidden="false" ht="14" outlineLevel="0" r="95">
      <c r="B95" s="289" t="str">
        <f aca="false">5_Produccion_Desagregada_09_10!$C$12</f>
        <v>Consultas de Sub Especializadades</v>
      </c>
      <c r="C95" s="290" t="str">
        <f aca="false">C$91</f>
        <v>Estudios</v>
      </c>
      <c r="D95" s="305" t="n">
        <f aca="false">31272+4850</f>
        <v>36122</v>
      </c>
      <c r="E95" s="291" t="n">
        <f aca="false">IF(ISERROR(D95/$D$92),"",D95/$D$92)</f>
        <v>0.742441370521859</v>
      </c>
      <c r="F95" s="292" t="n">
        <f aca="false">5_Produccion_Desagregada_09_10!$F$12</f>
        <v>207721</v>
      </c>
      <c r="G95" s="293" t="n">
        <f aca="false">IF(ISERROR(D95/F95),"",D95/F95)</f>
        <v>0.173896717231286</v>
      </c>
    </row>
    <row collapsed="false" customFormat="false" customHeight="false" hidden="false" ht="14" outlineLevel="0" r="96">
      <c r="B96" s="289" t="str">
        <f aca="false">5_Produccion_Desagregada_09_10!$C$17</f>
        <v>Consultas de Emergencia de Medicina Interna Pediatrica</v>
      </c>
      <c r="C96" s="290" t="str">
        <f aca="false">C$91</f>
        <v>Estudios</v>
      </c>
      <c r="D96" s="305" t="n">
        <v>12381</v>
      </c>
      <c r="E96" s="291" t="n">
        <f aca="false">IF(ISERROR(D96/$D$92),"",D96/$D$92)</f>
        <v>0.254475571907179</v>
      </c>
      <c r="F96" s="292" t="n">
        <f aca="false">5_Produccion_Desagregada_09_10!$F$17</f>
        <v>9804</v>
      </c>
      <c r="G96" s="293" t="n">
        <f aca="false">IF(ISERROR(D96/F96),"",D96/F96)</f>
        <v>1.26285189718482</v>
      </c>
    </row>
    <row collapsed="false" customFormat="false" customHeight="false" hidden="false" ht="14" outlineLevel="0" r="97">
      <c r="B97" s="289" t="str">
        <f aca="false">5_Produccion_Desagregada_09_10!$C$18</f>
        <v>Consultas de Emergencia de Cirugia General Pediatrica</v>
      </c>
      <c r="C97" s="290" t="str">
        <f aca="false">C$91</f>
        <v>Estudios</v>
      </c>
      <c r="D97" s="305" t="n">
        <v>0</v>
      </c>
      <c r="E97" s="291" t="n">
        <f aca="false">IF(ISERROR(D97/$D$92),"",D97/$D$92)</f>
        <v>0</v>
      </c>
      <c r="F97" s="292" t="n">
        <f aca="false">5_Produccion_Desagregada_09_10!$F$18</f>
        <v>13464</v>
      </c>
      <c r="G97" s="293" t="n">
        <f aca="false">IF(ISERROR(D97/F97),"",D97/F97)</f>
        <v>0</v>
      </c>
    </row>
    <row collapsed="false" customFormat="false" customHeight="false" hidden="false" ht="14" outlineLevel="0" r="98">
      <c r="B98" s="289" t="str">
        <f aca="false">5_Produccion_Desagregada_09_10!$C$20</f>
        <v>Consulta de Odontologia General</v>
      </c>
      <c r="C98" s="290" t="str">
        <f aca="false">C$91</f>
        <v>Estudios</v>
      </c>
      <c r="D98" s="305" t="n">
        <v>104</v>
      </c>
      <c r="E98" s="291" t="n">
        <f aca="false">IF(ISERROR(D98/$D$92),"",D98/$D$92)</f>
        <v>0.00213758658253345</v>
      </c>
      <c r="F98" s="292" t="n">
        <f aca="false">5_Produccion_Desagregada_09_10!$F$20</f>
        <v>16487</v>
      </c>
      <c r="G98" s="293" t="n">
        <f aca="false">IF(ISERROR(D98/F98),"",D98/F98)</f>
        <v>0.00630800024261539</v>
      </c>
    </row>
    <row collapsed="false" customFormat="false" customHeight="false" hidden="false" ht="14" outlineLevel="0" r="99">
      <c r="B99" s="289" t="str">
        <f aca="false">5_Produccion_Desagregada_09_10!$C$21</f>
        <v>Consulta de Ortodoncia</v>
      </c>
      <c r="C99" s="290" t="str">
        <f aca="false">C$91</f>
        <v>Estudios</v>
      </c>
      <c r="D99" s="305" t="n">
        <v>46</v>
      </c>
      <c r="E99" s="291" t="n">
        <f aca="false">IF(ISERROR(D99/$D$92),"",D99/$D$92)</f>
        <v>0.000945470988428257</v>
      </c>
      <c r="F99" s="292" t="n">
        <f aca="false">5_Produccion_Desagregada_09_10!$F$21</f>
        <v>1121</v>
      </c>
      <c r="G99" s="293" t="n">
        <f aca="false">IF(ISERROR(D99/F99),"",D99/F99)</f>
        <v>0.0410347903657449</v>
      </c>
    </row>
    <row collapsed="false" customFormat="false" customHeight="false" hidden="false" ht="14" outlineLevel="0" r="100">
      <c r="B100" s="294" t="str">
        <f aca="false">5_Produccion_Desagregada_09_10!$C$32</f>
        <v>Servicios Hospitalarios </v>
      </c>
      <c r="C100" s="295"/>
      <c r="D100" s="296" t="n">
        <f aca="false">SUM(D101,D116)</f>
        <v>11730</v>
      </c>
      <c r="E100" s="295"/>
      <c r="F100" s="296" t="n">
        <f aca="false">SUM(F101,F116)</f>
        <v>15353</v>
      </c>
      <c r="G100" s="297"/>
    </row>
    <row collapsed="false" customFormat="false" customHeight="false" hidden="false" ht="14" outlineLevel="0" r="101">
      <c r="B101" s="298" t="str">
        <f aca="false">5_Produccion_Desagregada_09_10!$C$33</f>
        <v>Egresos</v>
      </c>
      <c r="C101" s="299"/>
      <c r="D101" s="300" t="n">
        <f aca="false">SUM(D102:D114)</f>
        <v>7167</v>
      </c>
      <c r="E101" s="299" t="inlineStr">
        <f aca="false">SUM(E102:E114)</f>
        <is>
          <t/>
        </is>
      </c>
      <c r="F101" s="300" t="n">
        <f aca="false">SUM(F102:F114)</f>
        <v>14427</v>
      </c>
      <c r="G101" s="301"/>
    </row>
    <row collapsed="false" customFormat="false" customHeight="false" hidden="false" ht="14" outlineLevel="0" r="102">
      <c r="B102" s="289" t="str">
        <f aca="false">5_Produccion_Desagregada_09_10!$C$35</f>
        <v>Medicina Interna </v>
      </c>
      <c r="C102" s="290" t="str">
        <f aca="false">C$91</f>
        <v>Estudios</v>
      </c>
      <c r="D102" s="186" t="n">
        <v>694</v>
      </c>
      <c r="E102" s="291" t="n">
        <f aca="false">IF(ISERROR(D102/$D$101),"",D102/$D$101)</f>
        <v>0.0968327054555602</v>
      </c>
      <c r="F102" s="292" t="n">
        <f aca="false">5_Produccion_Desagregada_09_10!$F$35</f>
        <v>1106</v>
      </c>
      <c r="G102" s="293" t="n">
        <f aca="false">IF(ISERROR(D102/F102),"",D102/F102)</f>
        <v>0.62748643761302</v>
      </c>
    </row>
    <row collapsed="false" customFormat="false" customHeight="false" hidden="false" ht="14" outlineLevel="0" r="103">
      <c r="B103" s="289" t="str">
        <f aca="false">5_Produccion_Desagregada_09_10!$C$36</f>
        <v>Infectología</v>
      </c>
      <c r="C103" s="290" t="str">
        <f aca="false">C$91</f>
        <v>Estudios</v>
      </c>
      <c r="D103" s="186" t="n">
        <v>1460</v>
      </c>
      <c r="E103" s="291" t="n">
        <f aca="false">IF(ISERROR(D103/$D$101),"",D103/$D$101)</f>
        <v>0.20371145528115</v>
      </c>
      <c r="F103" s="292" t="n">
        <f aca="false">5_Produccion_Desagregada_09_10!$F$36</f>
        <v>2282</v>
      </c>
      <c r="G103" s="293" t="n">
        <f aca="false">IF(ISERROR(D103/F103),"",D103/F103)</f>
        <v>0.639789658194566</v>
      </c>
    </row>
    <row collapsed="false" customFormat="false" customHeight="false" hidden="false" ht="14" outlineLevel="0" r="104">
      <c r="B104" s="289" t="str">
        <f aca="false">5_Produccion_Desagregada_09_10!$C$37</f>
        <v>Nefrología</v>
      </c>
      <c r="C104" s="290" t="str">
        <f aca="false">C$91</f>
        <v>Estudios</v>
      </c>
      <c r="D104" s="186" t="n">
        <v>230</v>
      </c>
      <c r="E104" s="291" t="n">
        <f aca="false">IF(ISERROR(D104/$D$101),"",D104/$D$101)</f>
        <v>0.0320915306264825</v>
      </c>
      <c r="F104" s="292" t="n">
        <f aca="false">5_Produccion_Desagregada_09_10!$F$37</f>
        <v>323</v>
      </c>
      <c r="G104" s="293" t="n">
        <f aca="false">IF(ISERROR(D104/F104),"",D104/F104)</f>
        <v>0.712074303405573</v>
      </c>
    </row>
    <row collapsed="false" customFormat="false" customHeight="false" hidden="false" ht="14" outlineLevel="0" r="105">
      <c r="B105" s="289" t="str">
        <f aca="false">5_Produccion_Desagregada_09_10!$C$38</f>
        <v>Hematología</v>
      </c>
      <c r="C105" s="290" t="str">
        <f aca="false">C$91</f>
        <v>Estudios</v>
      </c>
      <c r="D105" s="186" t="n">
        <v>239</v>
      </c>
      <c r="E105" s="291" t="n">
        <f aca="false">IF(ISERROR(D105/$D$101),"",D105/$D$101)</f>
        <v>0.0333472861727361</v>
      </c>
      <c r="F105" s="292" t="n">
        <f aca="false">5_Produccion_Desagregada_09_10!$F$38</f>
        <v>958</v>
      </c>
      <c r="G105" s="293" t="n">
        <f aca="false">IF(ISERROR(D105/F105),"",D105/F105)</f>
        <v>0.249478079331942</v>
      </c>
    </row>
    <row collapsed="false" customFormat="false" customHeight="false" hidden="false" ht="14" outlineLevel="0" r="106">
      <c r="B106" s="289" t="str">
        <f aca="false">5_Produccion_Desagregada_09_10!$C$39</f>
        <v>Oncología</v>
      </c>
      <c r="C106" s="290" t="str">
        <f aca="false">C$91</f>
        <v>Estudios</v>
      </c>
      <c r="D106" s="186" t="n">
        <v>544</v>
      </c>
      <c r="E106" s="291" t="n">
        <f aca="false">IF(ISERROR(D106/$D$101),"",D106/$D$101)</f>
        <v>0.0759034463513325</v>
      </c>
      <c r="F106" s="292" t="n">
        <f aca="false">5_Produccion_Desagregada_09_10!$F$39</f>
        <v>708</v>
      </c>
      <c r="G106" s="293" t="n">
        <f aca="false">IF(ISERROR(D106/F106),"",D106/F106)</f>
        <v>0.768361581920904</v>
      </c>
    </row>
    <row collapsed="false" customFormat="false" customHeight="false" hidden="false" ht="14" outlineLevel="0" r="107">
      <c r="B107" s="289" t="str">
        <f aca="false">5_Produccion_Desagregada_09_10!$C$40</f>
        <v>Neonatología</v>
      </c>
      <c r="C107" s="290" t="str">
        <f aca="false">C$91</f>
        <v>Estudios</v>
      </c>
      <c r="D107" s="186" t="n">
        <v>2183</v>
      </c>
      <c r="E107" s="291" t="n">
        <f aca="false">IF(ISERROR(D107/$D$101),"",D107/$D$101)</f>
        <v>0.304590484163527</v>
      </c>
      <c r="F107" s="292" t="n">
        <f aca="false">5_Produccion_Desagregada_09_10!$F$40</f>
        <v>711</v>
      </c>
      <c r="G107" s="293" t="n">
        <f aca="false">IF(ISERROR(D107/F107),"",D107/F107)</f>
        <v>3.07032348804501</v>
      </c>
    </row>
    <row collapsed="false" customFormat="false" customHeight="false" hidden="false" ht="14" outlineLevel="0" r="108">
      <c r="B108" s="289" t="str">
        <f aca="false">5_Produccion_Desagregada_09_10!$C$42</f>
        <v>Cirugía General</v>
      </c>
      <c r="C108" s="290" t="str">
        <f aca="false">C$91</f>
        <v>Estudios</v>
      </c>
      <c r="D108" s="186" t="n">
        <v>341</v>
      </c>
      <c r="E108" s="291" t="n">
        <f aca="false">IF(ISERROR(D108/$D$101),"",D108/$D$101)</f>
        <v>0.047579182363611</v>
      </c>
      <c r="F108" s="292" t="n">
        <f aca="false">5_Produccion_Desagregada_09_10!$F$42</f>
        <v>2410</v>
      </c>
      <c r="G108" s="293" t="n">
        <f aca="false">IF(ISERROR(D108/F108),"",D108/F108)</f>
        <v>0.14149377593361</v>
      </c>
    </row>
    <row collapsed="false" customFormat="false" customHeight="false" hidden="false" ht="14" outlineLevel="0" r="109">
      <c r="B109" s="289" t="str">
        <f aca="false">5_Produccion_Desagregada_09_10!$C$43</f>
        <v>Cirugía Plastica</v>
      </c>
      <c r="C109" s="290" t="str">
        <f aca="false">C$91</f>
        <v>Estudios</v>
      </c>
      <c r="D109" s="186" t="n">
        <v>77</v>
      </c>
      <c r="E109" s="291" t="n">
        <f aca="false">IF(ISERROR(D109/$D$101),"",D109/$D$101)</f>
        <v>0.0107436863401702</v>
      </c>
      <c r="F109" s="292" t="n">
        <f aca="false">5_Produccion_Desagregada_09_10!$F$43</f>
        <v>962</v>
      </c>
      <c r="G109" s="293" t="n">
        <f aca="false">IF(ISERROR(D109/F109),"",D109/F109)</f>
        <v>0.08004158004158</v>
      </c>
    </row>
    <row collapsed="false" customFormat="false" customHeight="false" hidden="false" ht="14" outlineLevel="0" r="110">
      <c r="B110" s="289" t="str">
        <f aca="false">5_Produccion_Desagregada_09_10!$C$44</f>
        <v>Neurocirugía</v>
      </c>
      <c r="C110" s="290" t="str">
        <f aca="false">C$91</f>
        <v>Estudios</v>
      </c>
      <c r="D110" s="186" t="n">
        <v>256</v>
      </c>
      <c r="E110" s="291" t="n">
        <f aca="false">IF(ISERROR(D110/$D$101),"",D110/$D$101)</f>
        <v>0.0357192688712153</v>
      </c>
      <c r="F110" s="292" t="n">
        <f aca="false">5_Produccion_Desagregada_09_10!$F$44</f>
        <v>1152</v>
      </c>
      <c r="G110" s="293" t="n">
        <f aca="false">IF(ISERROR(D110/F110),"",D110/F110)</f>
        <v>0.222222222222222</v>
      </c>
    </row>
    <row collapsed="false" customFormat="false" customHeight="false" hidden="false" ht="14" outlineLevel="0" r="111">
      <c r="B111" s="289" t="str">
        <f aca="false">5_Produccion_Desagregada_09_10!$C$45</f>
        <v>Oftalmología</v>
      </c>
      <c r="C111" s="290" t="str">
        <f aca="false">C$91</f>
        <v>Estudios</v>
      </c>
      <c r="D111" s="186" t="n">
        <v>35</v>
      </c>
      <c r="E111" s="291" t="n">
        <f aca="false">IF(ISERROR(D111/$D$101),"",D111/$D$101)</f>
        <v>0.00488349379098647</v>
      </c>
      <c r="F111" s="292" t="n">
        <f aca="false">5_Produccion_Desagregada_09_10!$F$45</f>
        <v>905</v>
      </c>
      <c r="G111" s="293" t="n">
        <f aca="false">IF(ISERROR(D111/F111),"",D111/F111)</f>
        <v>0.0386740331491713</v>
      </c>
    </row>
    <row collapsed="false" customFormat="false" customHeight="false" hidden="false" ht="14" outlineLevel="0" r="112">
      <c r="B112" s="289" t="str">
        <f aca="false">5_Produccion_Desagregada_09_10!$C$46</f>
        <v>Otorrinolaringología</v>
      </c>
      <c r="C112" s="290" t="str">
        <f aca="false">C$91</f>
        <v>Estudios</v>
      </c>
      <c r="D112" s="186" t="n">
        <v>62</v>
      </c>
      <c r="E112" s="291" t="n">
        <f aca="false">IF(ISERROR(D112/$D$101),"",D112/$D$101)</f>
        <v>0.00865076042974745</v>
      </c>
      <c r="F112" s="292" t="n">
        <f aca="false">5_Produccion_Desagregada_09_10!$F$46</f>
        <v>1131</v>
      </c>
      <c r="G112" s="293" t="n">
        <f aca="false">IF(ISERROR(D112/F112),"",D112/F112)</f>
        <v>0.0548187444739169</v>
      </c>
    </row>
    <row collapsed="false" customFormat="false" customHeight="false" hidden="false" ht="14" outlineLevel="0" r="113">
      <c r="B113" s="289" t="str">
        <f aca="false">5_Produccion_Desagregada_09_10!$C$47</f>
        <v>Ortopedia</v>
      </c>
      <c r="C113" s="290" t="str">
        <f aca="false">C$91</f>
        <v>Estudios</v>
      </c>
      <c r="D113" s="186" t="n">
        <v>705</v>
      </c>
      <c r="E113" s="291" t="n">
        <f aca="false">IF(ISERROR(D113/$D$101),"",D113/$D$101)</f>
        <v>0.0983675177898702</v>
      </c>
      <c r="F113" s="292" t="n">
        <f aca="false">5_Produccion_Desagregada_09_10!$F$47</f>
        <v>706</v>
      </c>
      <c r="G113" s="293" t="n">
        <f aca="false">IF(ISERROR(D113/F113),"",D113/F113)</f>
        <v>0.998583569405099</v>
      </c>
    </row>
    <row collapsed="false" customFormat="false" customHeight="false" hidden="false" ht="14" outlineLevel="0" r="114">
      <c r="B114" s="289" t="str">
        <f aca="false">5_Produccion_Desagregada_09_10!$C$48</f>
        <v>Otros Servicios (Convenios / BM / ISSS)</v>
      </c>
      <c r="C114" s="290" t="str">
        <f aca="false">C$91</f>
        <v>Estudios</v>
      </c>
      <c r="D114" s="186" t="n">
        <v>341</v>
      </c>
      <c r="E114" s="291" t="n">
        <f aca="false">IF(ISERROR(D114/$D$101),"",D114/$D$101)</f>
        <v>0.047579182363611</v>
      </c>
      <c r="F114" s="292" t="n">
        <f aca="false">5_Produccion_Desagregada_09_10!$F$48</f>
        <v>1073</v>
      </c>
      <c r="G114" s="293" t="n">
        <f aca="false">IF(ISERROR(D114/F114),"",D114/F114)</f>
        <v>0.31780055917987</v>
      </c>
    </row>
    <row collapsed="false" customFormat="false" customHeight="false" hidden="false" ht="14" outlineLevel="0" r="115">
      <c r="B115" s="298" t="str">
        <f aca="false">5_Produccion_Desagregada_09_10!$C$54</f>
        <v>Cuidados Criticos</v>
      </c>
      <c r="C115" s="299"/>
      <c r="D115" s="300" t="n">
        <f aca="false">SUM(D116:D118)</f>
        <v>9608</v>
      </c>
      <c r="E115" s="299" t="inlineStr">
        <f aca="false">SUM(E116:E118)</f>
        <is>
          <t/>
        </is>
      </c>
      <c r="F115" s="300" t="n">
        <f aca="false">SUM(F116:F118)</f>
        <v>1642</v>
      </c>
      <c r="G115" s="301"/>
    </row>
    <row collapsed="false" customFormat="false" customHeight="false" hidden="false" ht="14" outlineLevel="0" r="116">
      <c r="B116" s="289" t="str">
        <f aca="false">5_Produccion_Desagregada_09_10!$C$55</f>
        <v>Unidad de Cuidados Intensivos</v>
      </c>
      <c r="C116" s="290" t="str">
        <f aca="false">C$91</f>
        <v>Estudios</v>
      </c>
      <c r="D116" s="305" t="n">
        <v>4563</v>
      </c>
      <c r="E116" s="291" t="n">
        <f aca="false">IF(ISERROR(D116/$D$115),"",D116/$D$115)</f>
        <v>0.474916736053289</v>
      </c>
      <c r="F116" s="292" t="n">
        <f aca="false">5_Produccion_Desagregada_09_10!$F$55</f>
        <v>926</v>
      </c>
      <c r="G116" s="293" t="n">
        <f aca="false">IF(ISERROR(D116/F116),"",D116/F116)</f>
        <v>4.92764578833693</v>
      </c>
    </row>
    <row collapsed="false" customFormat="false" customHeight="false" hidden="false" ht="14" outlineLevel="0" r="117">
      <c r="B117" s="289" t="str">
        <f aca="false">5_Produccion_Desagregada_09_10!$C$56</f>
        <v>Unidad de Cuidados Intermedios</v>
      </c>
      <c r="C117" s="290" t="str">
        <f aca="false">C$91</f>
        <v>Estudios</v>
      </c>
      <c r="D117" s="305" t="n">
        <v>1111</v>
      </c>
      <c r="E117" s="291" t="n">
        <f aca="false">IF(ISERROR(D117/$D$115),"",D117/$D$115)</f>
        <v>0.115632805995004</v>
      </c>
      <c r="F117" s="292" t="n">
        <f aca="false">5_Produccion_Desagregada_09_10!$F$56</f>
        <v>247</v>
      </c>
      <c r="G117" s="293" t="n">
        <f aca="false">IF(ISERROR(D117/F117),"",D117/F117)</f>
        <v>4.49797570850202</v>
      </c>
    </row>
    <row collapsed="false" customFormat="false" customHeight="false" hidden="false" ht="14" outlineLevel="0" r="118">
      <c r="B118" s="302" t="str">
        <f aca="false">5_Produccion_Desagregada_09_10!$C$57</f>
        <v>Unidad de Cuidados Intensivos Neonatales</v>
      </c>
      <c r="C118" s="290" t="str">
        <f aca="false">C$91</f>
        <v>Estudios</v>
      </c>
      <c r="D118" s="306" t="n">
        <v>3934</v>
      </c>
      <c r="E118" s="291" t="n">
        <f aca="false">IF(ISERROR(D118/$D$115),"",D118/$D$115)</f>
        <v>0.409450457951707</v>
      </c>
      <c r="F118" s="303" t="n">
        <f aca="false">5_Produccion_Desagregada_09_10!$F$57</f>
        <v>469</v>
      </c>
      <c r="G118" s="304" t="n">
        <f aca="false">IF(ISERROR(D118/F118),"",D118/F118)</f>
        <v>8.38805970149254</v>
      </c>
    </row>
    <row collapsed="false" customFormat="false" customHeight="false" hidden="false" ht="20.85" outlineLevel="0" r="119">
      <c r="A119" s="269" t="n">
        <v>2.2</v>
      </c>
      <c r="B119" s="281" t="s">
        <v>454</v>
      </c>
      <c r="C119" s="282" t="s">
        <v>453</v>
      </c>
      <c r="D119" s="282" t="str">
        <f aca="false">"Cantidad "&amp;C119&amp;" 2010"</f>
        <v>Cantidad Estudios 2010</v>
      </c>
      <c r="E119" s="282" t="str">
        <f aca="false">"Porcentaje "&amp;C119&amp;" 2010"</f>
        <v>Porcentaje Estudios 2010</v>
      </c>
      <c r="F119" s="282" t="s">
        <v>447</v>
      </c>
      <c r="G119" s="283" t="str">
        <f aca="false">C119&amp;" por Servicio Final"</f>
        <v>Estudios por Servicio Final</v>
      </c>
    </row>
    <row collapsed="false" customFormat="false" customHeight="false" hidden="false" ht="14" outlineLevel="0" r="120">
      <c r="B120" s="284" t="str">
        <f aca="false">5_Produccion_Desagregada_09_10!$C$5</f>
        <v>Servicios Ambulatorios</v>
      </c>
      <c r="C120" s="285"/>
      <c r="D120" s="286" t="n">
        <f aca="false">SUM(D122:D127)</f>
        <v>4805</v>
      </c>
      <c r="E120" s="287" t="inlineStr">
        <f aca="false">SUM(E121:E127)</f>
        <is>
          <t/>
        </is>
      </c>
      <c r="F120" s="286" t="n">
        <f aca="false">SUM(F122:F127)</f>
        <v>248597</v>
      </c>
      <c r="G120" s="288"/>
    </row>
    <row collapsed="false" customFormat="false" customHeight="false" hidden="false" ht="14" outlineLevel="0" r="121">
      <c r="B121" s="289" t="str">
        <f aca="false">5_Produccion_Desagregada_09_10!$C$7</f>
        <v>Consulta General </v>
      </c>
      <c r="C121" s="290" t="str">
        <f aca="false">C$119</f>
        <v>Estudios</v>
      </c>
      <c r="D121" s="307" t="n">
        <v>0</v>
      </c>
      <c r="E121" s="291" t="n">
        <f aca="false">IF(ISERROR(D123/$D$120),"",D123/$D$120)</f>
        <v>0.883454734651405</v>
      </c>
      <c r="F121" s="292" t="n">
        <f aca="false">5_Produccion_Desagregada_09_10!$F$7</f>
        <v>0</v>
      </c>
      <c r="G121" s="293" t="str">
        <f aca="false">IF(ISERROR(D123/F121),"",D123/F121)</f>
        <v/>
      </c>
    </row>
    <row collapsed="false" customFormat="false" customHeight="false" hidden="false" ht="14" outlineLevel="0" r="122">
      <c r="B122" s="289" t="str">
        <f aca="false">5_Produccion_Desagregada_09_10!$C$9</f>
        <v>Consultas de Especializadades Básicas</v>
      </c>
      <c r="C122" s="290" t="str">
        <f aca="false">C$119</f>
        <v>Estudios</v>
      </c>
      <c r="D122" s="305" t="n">
        <v>0</v>
      </c>
      <c r="E122" s="291" t="n">
        <f aca="false">IF(ISERROR(D122/$D$120),"",D122/$D$120)</f>
        <v>0</v>
      </c>
      <c r="F122" s="292" t="n">
        <f aca="false">5_Produccion_Desagregada_09_10!$F$9</f>
        <v>0</v>
      </c>
      <c r="G122" s="293" t="str">
        <f aca="false">IF(ISERROR(D122/F122),"",D122/F122)</f>
        <v/>
      </c>
    </row>
    <row collapsed="false" customFormat="false" customHeight="false" hidden="false" ht="14" outlineLevel="0" r="123">
      <c r="B123" s="289" t="str">
        <f aca="false">5_Produccion_Desagregada_09_10!$C$12</f>
        <v>Consultas de Sub Especializadades</v>
      </c>
      <c r="C123" s="290" t="str">
        <f aca="false">C$119</f>
        <v>Estudios</v>
      </c>
      <c r="D123" s="305" t="n">
        <f aca="false">3207+1038</f>
        <v>4245</v>
      </c>
      <c r="E123" s="291" t="b">
        <f aca="false">IF(ISERROR(#REF!/$D$120),"",#REF!/$D$120)))</f>
        <v>1</v>
      </c>
      <c r="F123" s="292" t="n">
        <f aca="false">5_Produccion_Desagregada_09_10!$F$12</f>
        <v>207721</v>
      </c>
      <c r="G123" s="293" t="b">
        <f aca="false">IF(ISERROR(#REF!/F123),"",#REF!/F123)))</f>
        <v>1</v>
      </c>
    </row>
    <row collapsed="false" customFormat="false" customHeight="false" hidden="false" ht="14" outlineLevel="0" r="124">
      <c r="B124" s="289" t="str">
        <f aca="false">5_Produccion_Desagregada_09_10!$C$17</f>
        <v>Consultas de Emergencia de Medicina Interna Pediatrica</v>
      </c>
      <c r="C124" s="290" t="str">
        <f aca="false">C$119</f>
        <v>Estudios</v>
      </c>
      <c r="D124" s="305" t="n">
        <v>559</v>
      </c>
      <c r="E124" s="291" t="n">
        <f aca="false">IF(ISERROR(D124/$D$120),"",D124/$D$120)</f>
        <v>0.11633714880333</v>
      </c>
      <c r="F124" s="292" t="n">
        <f aca="false">5_Produccion_Desagregada_09_10!$F$17</f>
        <v>9804</v>
      </c>
      <c r="G124" s="293" t="n">
        <f aca="false">IF(ISERROR(D124/F124),"",D124/F124)</f>
        <v>0.0570175438596491</v>
      </c>
    </row>
    <row collapsed="false" customFormat="false" customHeight="false" hidden="false" ht="14" outlineLevel="0" r="125">
      <c r="B125" s="289" t="str">
        <f aca="false">5_Produccion_Desagregada_09_10!$C$18</f>
        <v>Consultas de Emergencia de Cirugia General Pediatrica</v>
      </c>
      <c r="C125" s="290" t="str">
        <f aca="false">C$119</f>
        <v>Estudios</v>
      </c>
      <c r="D125" s="305" t="n">
        <v>0</v>
      </c>
      <c r="E125" s="291" t="n">
        <f aca="false">IF(ISERROR(D125/$D$120),"",D125/$D$120)</f>
        <v>0</v>
      </c>
      <c r="F125" s="292" t="n">
        <f aca="false">5_Produccion_Desagregada_09_10!$F$18</f>
        <v>13464</v>
      </c>
      <c r="G125" s="293" t="n">
        <f aca="false">IF(ISERROR(D125/F125),"",D125/F125)</f>
        <v>0</v>
      </c>
    </row>
    <row collapsed="false" customFormat="false" customHeight="false" hidden="false" ht="14" outlineLevel="0" r="126">
      <c r="B126" s="289" t="str">
        <f aca="false">5_Produccion_Desagregada_09_10!$C$20</f>
        <v>Consulta de Odontologia General</v>
      </c>
      <c r="C126" s="290" t="str">
        <f aca="false">C$119</f>
        <v>Estudios</v>
      </c>
      <c r="D126" s="305" t="n">
        <v>0</v>
      </c>
      <c r="E126" s="291" t="n">
        <f aca="false">IF(ISERROR(D126/$D$120),"",D126/$D$120)</f>
        <v>0</v>
      </c>
      <c r="F126" s="292" t="n">
        <f aca="false">5_Produccion_Desagregada_09_10!$F$20</f>
        <v>16487</v>
      </c>
      <c r="G126" s="293" t="n">
        <f aca="false">IF(ISERROR(D126/F126),"",D126/F126)</f>
        <v>0</v>
      </c>
    </row>
    <row collapsed="false" customFormat="false" customHeight="false" hidden="false" ht="14" outlineLevel="0" r="127">
      <c r="B127" s="289" t="str">
        <f aca="false">5_Produccion_Desagregada_09_10!$C$21</f>
        <v>Consulta de Ortodoncia</v>
      </c>
      <c r="C127" s="290" t="str">
        <f aca="false">C$119</f>
        <v>Estudios</v>
      </c>
      <c r="D127" s="305" t="n">
        <v>1</v>
      </c>
      <c r="E127" s="291" t="n">
        <f aca="false">IF(ISERROR(D127/$D$120),"",D127/$D$120)</f>
        <v>0.000208116545265349</v>
      </c>
      <c r="F127" s="292" t="n">
        <f aca="false">5_Produccion_Desagregada_09_10!$F$21</f>
        <v>1121</v>
      </c>
      <c r="G127" s="293" t="n">
        <f aca="false">IF(ISERROR(D127/F127),"",D127/F127)</f>
        <v>0.000892060660124889</v>
      </c>
    </row>
    <row collapsed="false" customFormat="false" customHeight="false" hidden="false" ht="14" outlineLevel="0" r="128">
      <c r="B128" s="294" t="str">
        <f aca="false">5_Produccion_Desagregada_09_10!$C$32</f>
        <v>Servicios Hospitalarios </v>
      </c>
      <c r="C128" s="295"/>
      <c r="D128" s="296" t="n">
        <f aca="false">SUM(D129,D144)</f>
        <v>2073</v>
      </c>
      <c r="E128" s="295"/>
      <c r="F128" s="296" t="n">
        <f aca="false">SUM(F129,F144)</f>
        <v>15353</v>
      </c>
      <c r="G128" s="297"/>
    </row>
    <row collapsed="false" customFormat="false" customHeight="false" hidden="false" ht="14" outlineLevel="0" r="129">
      <c r="B129" s="298" t="str">
        <f aca="false">5_Produccion_Desagregada_09_10!$C$33</f>
        <v>Egresos</v>
      </c>
      <c r="C129" s="299"/>
      <c r="D129" s="300" t="n">
        <f aca="false">SUM(D130:D142)</f>
        <v>1959</v>
      </c>
      <c r="E129" s="299" t="inlineStr">
        <f aca="false">SUM(E130:E142)</f>
        <is>
          <t/>
        </is>
      </c>
      <c r="F129" s="300" t="n">
        <f aca="false">SUM(F130:F142)</f>
        <v>14427</v>
      </c>
      <c r="G129" s="301"/>
    </row>
    <row collapsed="false" customFormat="false" customHeight="false" hidden="false" ht="14" outlineLevel="0" r="130">
      <c r="B130" s="289" t="str">
        <f aca="false">5_Produccion_Desagregada_09_10!$C$35</f>
        <v>Medicina Interna </v>
      </c>
      <c r="C130" s="290" t="str">
        <f aca="false">C$119</f>
        <v>Estudios</v>
      </c>
      <c r="D130" s="186" t="n">
        <v>213</v>
      </c>
      <c r="E130" s="291" t="n">
        <f aca="false">IF(ISERROR(D130/$D$129),"",D130/$D$129)</f>
        <v>0.108728943338438</v>
      </c>
      <c r="F130" s="292" t="n">
        <f aca="false">5_Produccion_Desagregada_09_10!$F$35</f>
        <v>1106</v>
      </c>
      <c r="G130" s="293" t="n">
        <f aca="false">IF(ISERROR(D130/F130),"",D130/F130)</f>
        <v>0.192585895117541</v>
      </c>
    </row>
    <row collapsed="false" customFormat="false" customHeight="false" hidden="false" ht="14" outlineLevel="0" r="131">
      <c r="B131" s="289" t="str">
        <f aca="false">5_Produccion_Desagregada_09_10!$C$36</f>
        <v>Infectología</v>
      </c>
      <c r="C131" s="290" t="str">
        <f aca="false">C$119</f>
        <v>Estudios</v>
      </c>
      <c r="D131" s="186" t="n">
        <v>391</v>
      </c>
      <c r="E131" s="291" t="n">
        <f aca="false">IF(ISERROR(D131/$D$129),"",D131/$D$129)</f>
        <v>0.199591628381827</v>
      </c>
      <c r="F131" s="292" t="n">
        <f aca="false">5_Produccion_Desagregada_09_10!$F$36</f>
        <v>2282</v>
      </c>
      <c r="G131" s="293" t="n">
        <f aca="false">IF(ISERROR(D131/F131),"",D131/F131)</f>
        <v>0.171340929009641</v>
      </c>
    </row>
    <row collapsed="false" customFormat="false" customHeight="false" hidden="false" ht="14" outlineLevel="0" r="132">
      <c r="B132" s="289" t="str">
        <f aca="false">5_Produccion_Desagregada_09_10!$C$37</f>
        <v>Nefrología</v>
      </c>
      <c r="C132" s="290" t="str">
        <f aca="false">C$119</f>
        <v>Estudios</v>
      </c>
      <c r="D132" s="186" t="n">
        <v>95</v>
      </c>
      <c r="E132" s="291" t="n">
        <f aca="false">IF(ISERROR(D132/$D$129),"",D132/$D$129)</f>
        <v>0.0484941296579888</v>
      </c>
      <c r="F132" s="292" t="n">
        <f aca="false">5_Produccion_Desagregada_09_10!$F$37</f>
        <v>323</v>
      </c>
      <c r="G132" s="293" t="n">
        <f aca="false">IF(ISERROR(D132/F132),"",D132/F132)</f>
        <v>0.294117647058823</v>
      </c>
    </row>
    <row collapsed="false" customFormat="false" customHeight="false" hidden="false" ht="14" outlineLevel="0" r="133">
      <c r="B133" s="289" t="str">
        <f aca="false">5_Produccion_Desagregada_09_10!$C$38</f>
        <v>Hematología</v>
      </c>
      <c r="C133" s="290" t="str">
        <f aca="false">C$119</f>
        <v>Estudios</v>
      </c>
      <c r="D133" s="186" t="n">
        <v>137</v>
      </c>
      <c r="E133" s="291" t="n">
        <f aca="false">IF(ISERROR(D133/$D$129),"",D133/$D$129)</f>
        <v>0.069933639612047</v>
      </c>
      <c r="F133" s="292" t="n">
        <f aca="false">5_Produccion_Desagregada_09_10!$F$38</f>
        <v>958</v>
      </c>
      <c r="G133" s="293" t="n">
        <f aca="false">IF(ISERROR(D133/F133),"",D133/F133)</f>
        <v>0.143006263048017</v>
      </c>
    </row>
    <row collapsed="false" customFormat="false" customHeight="false" hidden="false" ht="14" outlineLevel="0" r="134">
      <c r="B134" s="289" t="str">
        <f aca="false">5_Produccion_Desagregada_09_10!$C$39</f>
        <v>Oncología</v>
      </c>
      <c r="C134" s="290" t="str">
        <f aca="false">C$119</f>
        <v>Estudios</v>
      </c>
      <c r="D134" s="186" t="n">
        <v>236</v>
      </c>
      <c r="E134" s="291" t="n">
        <f aca="false">IF(ISERROR(D134/$D$129),"",D134/$D$129)</f>
        <v>0.120469627360898</v>
      </c>
      <c r="F134" s="292" t="n">
        <f aca="false">5_Produccion_Desagregada_09_10!$F$39</f>
        <v>708</v>
      </c>
      <c r="G134" s="293" t="n">
        <f aca="false">IF(ISERROR(D134/F134),"",D134/F134)</f>
        <v>0.333333333333333</v>
      </c>
    </row>
    <row collapsed="false" customFormat="false" customHeight="false" hidden="false" ht="14" outlineLevel="0" r="135">
      <c r="B135" s="289" t="str">
        <f aca="false">5_Produccion_Desagregada_09_10!$C$40</f>
        <v>Neonatología</v>
      </c>
      <c r="C135" s="290" t="str">
        <f aca="false">C$119</f>
        <v>Estudios</v>
      </c>
      <c r="D135" s="186" t="n">
        <v>395</v>
      </c>
      <c r="E135" s="291" t="n">
        <f aca="false">IF(ISERROR(D135/$D$129),"",D135/$D$129)</f>
        <v>0.20163348647269</v>
      </c>
      <c r="F135" s="292" t="n">
        <f aca="false">5_Produccion_Desagregada_09_10!$F$40</f>
        <v>711</v>
      </c>
      <c r="G135" s="293" t="n">
        <f aca="false">IF(ISERROR(D135/F135),"",D135/F135)</f>
        <v>0.555555555555556</v>
      </c>
    </row>
    <row collapsed="false" customFormat="false" customHeight="false" hidden="false" ht="14" outlineLevel="0" r="136">
      <c r="B136" s="289" t="str">
        <f aca="false">5_Produccion_Desagregada_09_10!$C$42</f>
        <v>Cirugía General</v>
      </c>
      <c r="C136" s="290" t="str">
        <f aca="false">C$119</f>
        <v>Estudios</v>
      </c>
      <c r="D136" s="186" t="n">
        <v>158</v>
      </c>
      <c r="E136" s="291" t="n">
        <f aca="false">IF(ISERROR(D136/$D$129),"",D136/$D$129)</f>
        <v>0.0806533945890761</v>
      </c>
      <c r="F136" s="292" t="n">
        <f aca="false">5_Produccion_Desagregada_09_10!$F$42</f>
        <v>2410</v>
      </c>
      <c r="G136" s="293" t="n">
        <f aca="false">IF(ISERROR(D136/F136),"",D136/F136)</f>
        <v>0.0655601659751037</v>
      </c>
    </row>
    <row collapsed="false" customFormat="false" customHeight="false" hidden="false" ht="14" outlineLevel="0" r="137">
      <c r="B137" s="289" t="str">
        <f aca="false">5_Produccion_Desagregada_09_10!$C$43</f>
        <v>Cirugía Plastica</v>
      </c>
      <c r="C137" s="290" t="str">
        <f aca="false">C$119</f>
        <v>Estudios</v>
      </c>
      <c r="D137" s="186" t="n">
        <v>20</v>
      </c>
      <c r="E137" s="291" t="n">
        <f aca="false">IF(ISERROR(D137/$D$129),"",D137/$D$129)</f>
        <v>0.0102092904543134</v>
      </c>
      <c r="F137" s="292" t="n">
        <f aca="false">5_Produccion_Desagregada_09_10!$F$43</f>
        <v>962</v>
      </c>
      <c r="G137" s="293" t="n">
        <f aca="false">IF(ISERROR(D137/F137),"",D137/F137)</f>
        <v>0.0207900207900208</v>
      </c>
    </row>
    <row collapsed="false" customFormat="false" customHeight="false" hidden="false" ht="14" outlineLevel="0" r="138">
      <c r="B138" s="289" t="str">
        <f aca="false">5_Produccion_Desagregada_09_10!$C$44</f>
        <v>Neurocirugía</v>
      </c>
      <c r="C138" s="290" t="str">
        <f aca="false">C$119</f>
        <v>Estudios</v>
      </c>
      <c r="D138" s="186" t="n">
        <v>115</v>
      </c>
      <c r="E138" s="291" t="n">
        <f aca="false">IF(ISERROR(D138/$D$129),"",D138/$D$129)</f>
        <v>0.0587034201123022</v>
      </c>
      <c r="F138" s="292" t="n">
        <f aca="false">5_Produccion_Desagregada_09_10!$F$44</f>
        <v>1152</v>
      </c>
      <c r="G138" s="293" t="n">
        <f aca="false">IF(ISERROR(D138/F138),"",D138/F138)</f>
        <v>0.0998263888888889</v>
      </c>
    </row>
    <row collapsed="false" customFormat="false" customHeight="false" hidden="false" ht="14" outlineLevel="0" r="139">
      <c r="B139" s="289" t="str">
        <f aca="false">5_Produccion_Desagregada_09_10!$C$45</f>
        <v>Oftalmología</v>
      </c>
      <c r="C139" s="290" t="str">
        <f aca="false">C$119</f>
        <v>Estudios</v>
      </c>
      <c r="D139" s="186" t="n">
        <v>24</v>
      </c>
      <c r="E139" s="291" t="n">
        <f aca="false">IF(ISERROR(D139/$D$129),"",D139/$D$129)</f>
        <v>0.0122511485451761</v>
      </c>
      <c r="F139" s="292" t="n">
        <f aca="false">5_Produccion_Desagregada_09_10!$F$45</f>
        <v>905</v>
      </c>
      <c r="G139" s="293" t="n">
        <f aca="false">IF(ISERROR(D139/F139),"",D139/F139)</f>
        <v>0.0265193370165746</v>
      </c>
    </row>
    <row collapsed="false" customFormat="false" customHeight="false" hidden="false" ht="14" outlineLevel="0" r="140">
      <c r="B140" s="289" t="str">
        <f aca="false">5_Produccion_Desagregada_09_10!$C$46</f>
        <v>Otorrinolaringología</v>
      </c>
      <c r="C140" s="290" t="str">
        <f aca="false">C$119</f>
        <v>Estudios</v>
      </c>
      <c r="D140" s="186" t="n">
        <v>20</v>
      </c>
      <c r="E140" s="291" t="n">
        <f aca="false">IF(ISERROR(D140/$D$129),"",D140/$D$129)</f>
        <v>0.0102092904543134</v>
      </c>
      <c r="F140" s="292" t="n">
        <f aca="false">5_Produccion_Desagregada_09_10!$F$46</f>
        <v>1131</v>
      </c>
      <c r="G140" s="293" t="n">
        <f aca="false">IF(ISERROR(D140/F140),"",D140/F140)</f>
        <v>0.017683465959328</v>
      </c>
    </row>
    <row collapsed="false" customFormat="false" customHeight="false" hidden="false" ht="14" outlineLevel="0" r="141">
      <c r="B141" s="289" t="str">
        <f aca="false">5_Produccion_Desagregada_09_10!$C$47</f>
        <v>Ortopedia</v>
      </c>
      <c r="C141" s="290" t="str">
        <f aca="false">C$119</f>
        <v>Estudios</v>
      </c>
      <c r="D141" s="186" t="n">
        <v>0</v>
      </c>
      <c r="E141" s="291" t="n">
        <f aca="false">IF(ISERROR(D141/$D$129),"",D141/$D$129)</f>
        <v>0</v>
      </c>
      <c r="F141" s="292" t="n">
        <f aca="false">5_Produccion_Desagregada_09_10!$F$47</f>
        <v>706</v>
      </c>
      <c r="G141" s="293" t="n">
        <f aca="false">IF(ISERROR(D141/F141),"",D141/F141)</f>
        <v>0</v>
      </c>
    </row>
    <row collapsed="false" customFormat="false" customHeight="false" hidden="false" ht="14" outlineLevel="0" r="142">
      <c r="B142" s="289" t="str">
        <f aca="false">5_Produccion_Desagregada_09_10!$C$48</f>
        <v>Otros Servicios (Convenios / BM / ISSS)</v>
      </c>
      <c r="C142" s="290" t="str">
        <f aca="false">C$119</f>
        <v>Estudios</v>
      </c>
      <c r="D142" s="186" t="n">
        <v>155</v>
      </c>
      <c r="E142" s="291" t="n">
        <f aca="false">IF(ISERROR(D142/$D$129),"",D142/$D$129)</f>
        <v>0.079122001020929</v>
      </c>
      <c r="F142" s="292" t="n">
        <f aca="false">5_Produccion_Desagregada_09_10!$F$48</f>
        <v>1073</v>
      </c>
      <c r="G142" s="293" t="n">
        <f aca="false">IF(ISERROR(D142/F142),"",D142/F142)</f>
        <v>0.144454799627213</v>
      </c>
    </row>
    <row collapsed="false" customFormat="false" customHeight="false" hidden="false" ht="14" outlineLevel="0" r="143">
      <c r="B143" s="298" t="str">
        <f aca="false">5_Produccion_Desagregada_09_10!$C$54</f>
        <v>Cuidados Criticos</v>
      </c>
      <c r="C143" s="299"/>
      <c r="D143" s="300" t="n">
        <f aca="false">SUM(D144:D146)</f>
        <v>598</v>
      </c>
      <c r="E143" s="299" t="inlineStr">
        <f aca="false">SUM(E144:E146)</f>
        <is>
          <t/>
        </is>
      </c>
      <c r="F143" s="300" t="n">
        <f aca="false">SUM(F144:F146)</f>
        <v>1642</v>
      </c>
      <c r="G143" s="301"/>
    </row>
    <row collapsed="false" customFormat="false" customHeight="false" hidden="false" ht="14" outlineLevel="0" r="144">
      <c r="B144" s="289" t="str">
        <f aca="false">5_Produccion_Desagregada_09_10!$C$55</f>
        <v>Unidad de Cuidados Intensivos</v>
      </c>
      <c r="C144" s="290" t="str">
        <f aca="false">C$34</f>
        <v>Examenes</v>
      </c>
      <c r="D144" s="305" t="n">
        <v>114</v>
      </c>
      <c r="E144" s="291" t="n">
        <f aca="false">IF(ISERROR(D144/$D$143),"",D144/$D$143)</f>
        <v>0.190635451505017</v>
      </c>
      <c r="F144" s="292" t="n">
        <f aca="false">5_Produccion_Desagregada_09_10!$F$55</f>
        <v>926</v>
      </c>
      <c r="G144" s="293" t="n">
        <f aca="false">IF(ISERROR(D144/F144),"",D144/F144)</f>
        <v>0.123110151187905</v>
      </c>
    </row>
    <row collapsed="false" customFormat="false" customHeight="false" hidden="false" ht="14" outlineLevel="0" r="145">
      <c r="B145" s="289" t="str">
        <f aca="false">5_Produccion_Desagregada_09_10!$C$56</f>
        <v>Unidad de Cuidados Intermedios</v>
      </c>
      <c r="C145" s="290" t="str">
        <f aca="false">C$34</f>
        <v>Examenes</v>
      </c>
      <c r="D145" s="305" t="n">
        <v>54</v>
      </c>
      <c r="E145" s="291" t="n">
        <f aca="false">IF(ISERROR(D145/$D$143),"",D145/$D$143)</f>
        <v>0.0903010033444816</v>
      </c>
      <c r="F145" s="292" t="n">
        <f aca="false">5_Produccion_Desagregada_09_10!$F$56</f>
        <v>247</v>
      </c>
      <c r="G145" s="293" t="n">
        <f aca="false">IF(ISERROR(D145/F145),"",D145/F145)</f>
        <v>0.218623481781376</v>
      </c>
    </row>
    <row collapsed="false" customFormat="false" customHeight="false" hidden="false" ht="14" outlineLevel="0" r="146">
      <c r="B146" s="302" t="str">
        <f aca="false">5_Produccion_Desagregada_09_10!$C$57</f>
        <v>Unidad de Cuidados Intensivos Neonatales</v>
      </c>
      <c r="C146" s="290" t="str">
        <f aca="false">C$34</f>
        <v>Examenes</v>
      </c>
      <c r="D146" s="306" t="n">
        <v>430</v>
      </c>
      <c r="E146" s="291" t="n">
        <f aca="false">IF(ISERROR(D146/$D$143),"",D146/$D$143)</f>
        <v>0.719063545150502</v>
      </c>
      <c r="F146" s="303" t="n">
        <f aca="false">5_Produccion_Desagregada_09_10!$F$57</f>
        <v>469</v>
      </c>
      <c r="G146" s="304" t="n">
        <f aca="false">IF(ISERROR(D146/F146),"",D146/F146)</f>
        <v>0.916844349680171</v>
      </c>
    </row>
    <row collapsed="false" customFormat="false" customHeight="false" hidden="false" ht="20.85" outlineLevel="0" r="147">
      <c r="A147" s="269" t="n">
        <v>2.3</v>
      </c>
      <c r="B147" s="281" t="s">
        <v>455</v>
      </c>
      <c r="C147" s="282" t="s">
        <v>453</v>
      </c>
      <c r="D147" s="282" t="str">
        <f aca="false">"Cantidad "&amp;C147&amp;" 2010"</f>
        <v>Cantidad Estudios 2010</v>
      </c>
      <c r="E147" s="282" t="str">
        <f aca="false">"Porcentaje "&amp;C147&amp;" 2010"</f>
        <v>Porcentaje Estudios 2010</v>
      </c>
      <c r="F147" s="282" t="s">
        <v>447</v>
      </c>
      <c r="G147" s="283" t="str">
        <f aca="false">C147&amp;" por Servicio Final"</f>
        <v>Estudios por Servicio Final</v>
      </c>
    </row>
    <row collapsed="false" customFormat="false" customHeight="false" hidden="false" ht="14" outlineLevel="0" r="148">
      <c r="B148" s="284" t="str">
        <f aca="false">5_Produccion_Desagregada_09_10!$C$5</f>
        <v>Servicios Ambulatorios</v>
      </c>
      <c r="C148" s="285"/>
      <c r="D148" s="286" t="n">
        <f aca="false">SUM(D149:D155)</f>
        <v>3147</v>
      </c>
      <c r="E148" s="287" t="inlineStr">
        <f aca="false">SUM(E149:E155)</f>
        <is>
          <t/>
        </is>
      </c>
      <c r="F148" s="286" t="n">
        <f aca="false">SUM(F150:F155)</f>
        <v>248597</v>
      </c>
      <c r="G148" s="288"/>
    </row>
    <row collapsed="false" customFormat="false" customHeight="false" hidden="false" ht="14" outlineLevel="0" r="149">
      <c r="B149" s="289" t="str">
        <f aca="false">5_Produccion_Desagregada_09_10!$C$7</f>
        <v>Consulta General </v>
      </c>
      <c r="C149" s="290" t="str">
        <f aca="false">C$147</f>
        <v>Estudios</v>
      </c>
      <c r="D149" s="305" t="n">
        <v>0</v>
      </c>
      <c r="E149" s="291" t="n">
        <f aca="false">IF(ISERROR(D149/$D$148),"",D149/$D$148)</f>
        <v>0</v>
      </c>
      <c r="F149" s="292" t="n">
        <f aca="false">5_Produccion_Desagregada_09_10!$F$7</f>
        <v>0</v>
      </c>
      <c r="G149" s="293" t="str">
        <f aca="false">IF(ISERROR(D149/F149),"",D149/F149)</f>
        <v/>
      </c>
    </row>
    <row collapsed="false" customFormat="false" customHeight="false" hidden="false" ht="14" outlineLevel="0" r="150">
      <c r="B150" s="289" t="str">
        <f aca="false">5_Produccion_Desagregada_09_10!$C$9</f>
        <v>Consultas de Especializadades Básicas</v>
      </c>
      <c r="C150" s="290" t="str">
        <f aca="false">C$147</f>
        <v>Estudios</v>
      </c>
      <c r="D150" s="305" t="n">
        <v>0</v>
      </c>
      <c r="E150" s="291" t="n">
        <f aca="false">IF(ISERROR(D150/$D$148),"",D150/$D$148)</f>
        <v>0</v>
      </c>
      <c r="F150" s="292" t="n">
        <f aca="false">5_Produccion_Desagregada_09_10!$F$9</f>
        <v>0</v>
      </c>
      <c r="G150" s="293" t="str">
        <f aca="false">IF(ISERROR(D150/F150),"",D150/F150)</f>
        <v/>
      </c>
    </row>
    <row collapsed="false" customFormat="false" customHeight="false" hidden="false" ht="14" outlineLevel="0" r="151">
      <c r="B151" s="289" t="str">
        <f aca="false">5_Produccion_Desagregada_09_10!$C$12</f>
        <v>Consultas de Sub Especializadades</v>
      </c>
      <c r="C151" s="290" t="str">
        <f aca="false">C$147</f>
        <v>Estudios</v>
      </c>
      <c r="D151" s="305" t="n">
        <v>0</v>
      </c>
      <c r="E151" s="291" t="n">
        <f aca="false">IF(ISERROR(D151/$D$148),"",D151/$D$148)</f>
        <v>0</v>
      </c>
      <c r="F151" s="292" t="n">
        <f aca="false">5_Produccion_Desagregada_09_10!$F$12</f>
        <v>207721</v>
      </c>
      <c r="G151" s="293" t="n">
        <f aca="false">IF(ISERROR(D151/F151),"",D151/F151)</f>
        <v>0</v>
      </c>
    </row>
    <row collapsed="false" customFormat="false" customHeight="false" hidden="false" ht="14" outlineLevel="0" r="152">
      <c r="B152" s="289" t="str">
        <f aca="false">5_Produccion_Desagregada_09_10!$C$17</f>
        <v>Consultas de Emergencia de Medicina Interna Pediatrica</v>
      </c>
      <c r="C152" s="290" t="str">
        <f aca="false">C$147</f>
        <v>Estudios</v>
      </c>
      <c r="D152" s="305" t="n">
        <f aca="false">1978+365</f>
        <v>2343</v>
      </c>
      <c r="E152" s="291" t="n">
        <f aca="false">IF(ISERROR(D152/$D$148),"",D152/$D$148)</f>
        <v>0.744518589132507</v>
      </c>
      <c r="F152" s="292" t="n">
        <f aca="false">5_Produccion_Desagregada_09_10!$F$17</f>
        <v>9804</v>
      </c>
      <c r="G152" s="293" t="n">
        <f aca="false">IF(ISERROR(D152/F152),"",D152/F152)</f>
        <v>0.238984088127295</v>
      </c>
    </row>
    <row collapsed="false" customFormat="false" customHeight="false" hidden="false" ht="14" outlineLevel="0" r="153">
      <c r="B153" s="289" t="str">
        <f aca="false">5_Produccion_Desagregada_09_10!$C$18</f>
        <v>Consultas de Emergencia de Cirugia General Pediatrica</v>
      </c>
      <c r="C153" s="290" t="str">
        <f aca="false">C$147</f>
        <v>Estudios</v>
      </c>
      <c r="D153" s="305" t="n">
        <v>804</v>
      </c>
      <c r="E153" s="291" t="n">
        <f aca="false">IF(ISERROR(D153/$D$148),"",D153/$D$148)</f>
        <v>0.255481410867493</v>
      </c>
      <c r="F153" s="292" t="n">
        <f aca="false">5_Produccion_Desagregada_09_10!$F$18</f>
        <v>13464</v>
      </c>
      <c r="G153" s="293" t="n">
        <f aca="false">IF(ISERROR(D153/F153),"",D153/F153)</f>
        <v>0.0597147950089127</v>
      </c>
    </row>
    <row collapsed="false" customFormat="false" customHeight="false" hidden="false" ht="14" outlineLevel="0" r="154">
      <c r="B154" s="289" t="str">
        <f aca="false">5_Produccion_Desagregada_09_10!$C$20</f>
        <v>Consulta de Odontologia General</v>
      </c>
      <c r="C154" s="290" t="str">
        <f aca="false">C$147</f>
        <v>Estudios</v>
      </c>
      <c r="D154" s="305" t="n">
        <v>0</v>
      </c>
      <c r="E154" s="291" t="n">
        <f aca="false">IF(ISERROR(D154/$D$148),"",D154/$D$148)</f>
        <v>0</v>
      </c>
      <c r="F154" s="292" t="n">
        <f aca="false">5_Produccion_Desagregada_09_10!$F$20</f>
        <v>16487</v>
      </c>
      <c r="G154" s="293" t="n">
        <f aca="false">IF(ISERROR(D154/F154),"",D154/F154)</f>
        <v>0</v>
      </c>
    </row>
    <row collapsed="false" customFormat="false" customHeight="false" hidden="false" ht="14" outlineLevel="0" r="155">
      <c r="B155" s="289" t="str">
        <f aca="false">5_Produccion_Desagregada_09_10!$C$21</f>
        <v>Consulta de Ortodoncia</v>
      </c>
      <c r="C155" s="290" t="str">
        <f aca="false">C$147</f>
        <v>Estudios</v>
      </c>
      <c r="D155" s="305" t="n">
        <v>0</v>
      </c>
      <c r="E155" s="291" t="n">
        <f aca="false">IF(ISERROR(D155/$D$148),"",D155/$D$148)</f>
        <v>0</v>
      </c>
      <c r="F155" s="292" t="n">
        <f aca="false">5_Produccion_Desagregada_09_10!$F$21</f>
        <v>1121</v>
      </c>
      <c r="G155" s="293" t="n">
        <f aca="false">IF(ISERROR(D155/F155),"",D155/F155)</f>
        <v>0</v>
      </c>
    </row>
    <row collapsed="false" customFormat="false" customHeight="false" hidden="false" ht="14" outlineLevel="0" r="156">
      <c r="B156" s="294" t="str">
        <f aca="false">5_Produccion_Desagregada_09_10!$C$32</f>
        <v>Servicios Hospitalarios </v>
      </c>
      <c r="C156" s="295"/>
      <c r="D156" s="296" t="n">
        <f aca="false">SUM(D157,D171)</f>
        <v>1370</v>
      </c>
      <c r="E156" s="295"/>
      <c r="F156" s="296" t="n">
        <f aca="false">SUM(F157,F171)</f>
        <v>16069</v>
      </c>
      <c r="G156" s="297"/>
    </row>
    <row collapsed="false" customFormat="false" customHeight="false" hidden="false" ht="14" outlineLevel="0" r="157">
      <c r="B157" s="298" t="str">
        <f aca="false">5_Produccion_Desagregada_09_10!$C$33</f>
        <v>Egresos</v>
      </c>
      <c r="C157" s="299"/>
      <c r="D157" s="300" t="n">
        <f aca="false">SUM(D158:D170)</f>
        <v>1184</v>
      </c>
      <c r="E157" s="299" t="inlineStr">
        <f aca="false">SUM(E158:E170)</f>
        <is>
          <t/>
        </is>
      </c>
      <c r="F157" s="300" t="n">
        <f aca="false">SUM(F158:F170)</f>
        <v>14427</v>
      </c>
      <c r="G157" s="301"/>
    </row>
    <row collapsed="false" customFormat="false" customHeight="false" hidden="false" ht="14" outlineLevel="0" r="158">
      <c r="B158" s="289" t="str">
        <f aca="false">5_Produccion_Desagregada_09_10!$C$35</f>
        <v>Medicina Interna </v>
      </c>
      <c r="C158" s="290" t="str">
        <f aca="false">C$147</f>
        <v>Estudios</v>
      </c>
      <c r="D158" s="186" t="n">
        <v>167</v>
      </c>
      <c r="E158" s="291" t="n">
        <f aca="false">IF(ISERROR(D158/$D$157),"",D158/$D$157)</f>
        <v>0.141047297297297</v>
      </c>
      <c r="F158" s="292" t="n">
        <f aca="false">5_Produccion_Desagregada_09_10!$F$35</f>
        <v>1106</v>
      </c>
      <c r="G158" s="293" t="n">
        <f aca="false">IF(ISERROR(D158/F158),"",D158/F158)</f>
        <v>0.150994575045208</v>
      </c>
    </row>
    <row collapsed="false" customFormat="false" customHeight="false" hidden="false" ht="14" outlineLevel="0" r="159">
      <c r="B159" s="289" t="str">
        <f aca="false">5_Produccion_Desagregada_09_10!$C$36</f>
        <v>Infectología</v>
      </c>
      <c r="C159" s="290" t="str">
        <f aca="false">C$147</f>
        <v>Estudios</v>
      </c>
      <c r="D159" s="186" t="n">
        <v>185</v>
      </c>
      <c r="E159" s="291" t="n">
        <f aca="false">IF(ISERROR(D159/$D$157),"",D159/$D$157)</f>
        <v>0.15625</v>
      </c>
      <c r="F159" s="292" t="n">
        <f aca="false">5_Produccion_Desagregada_09_10!$F$36</f>
        <v>2282</v>
      </c>
      <c r="G159" s="293" t="n">
        <f aca="false">IF(ISERROR(D159/F159),"",D159/F159)</f>
        <v>0.0810692375109553</v>
      </c>
    </row>
    <row collapsed="false" customFormat="false" customHeight="false" hidden="false" ht="14" outlineLevel="0" r="160">
      <c r="B160" s="289" t="str">
        <f aca="false">5_Produccion_Desagregada_09_10!$C$37</f>
        <v>Nefrología</v>
      </c>
      <c r="C160" s="290" t="str">
        <f aca="false">C$147</f>
        <v>Estudios</v>
      </c>
      <c r="D160" s="186" t="n">
        <v>6</v>
      </c>
      <c r="E160" s="291" t="n">
        <f aca="false">IF(ISERROR(D160/$D$157),"",D160/$D$157)</f>
        <v>0.00506756756756757</v>
      </c>
      <c r="F160" s="292" t="n">
        <f aca="false">5_Produccion_Desagregada_09_10!$F$37</f>
        <v>323</v>
      </c>
      <c r="G160" s="293" t="n">
        <f aca="false">IF(ISERROR(D160/F160),"",D160/F160)</f>
        <v>0.0185758513931889</v>
      </c>
    </row>
    <row collapsed="false" customFormat="false" customHeight="false" hidden="false" ht="14" outlineLevel="0" r="161">
      <c r="B161" s="289" t="str">
        <f aca="false">5_Produccion_Desagregada_09_10!$C$38</f>
        <v>Hematología</v>
      </c>
      <c r="C161" s="290" t="str">
        <f aca="false">C$147</f>
        <v>Estudios</v>
      </c>
      <c r="D161" s="186" t="n">
        <v>61</v>
      </c>
      <c r="E161" s="291" t="n">
        <f aca="false">IF(ISERROR(D161/$D$157),"",D161/$D$157)</f>
        <v>0.0515202702702703</v>
      </c>
      <c r="F161" s="292" t="n">
        <f aca="false">5_Produccion_Desagregada_09_10!$F$38</f>
        <v>958</v>
      </c>
      <c r="G161" s="293" t="n">
        <f aca="false">IF(ISERROR(D161/F161),"",D161/F161)</f>
        <v>0.0636743215031315</v>
      </c>
    </row>
    <row collapsed="false" customFormat="false" customHeight="false" hidden="false" ht="14" outlineLevel="0" r="162">
      <c r="B162" s="289" t="str">
        <f aca="false">5_Produccion_Desagregada_09_10!$C$39</f>
        <v>Oncología</v>
      </c>
      <c r="C162" s="290" t="str">
        <f aca="false">C$147</f>
        <v>Estudios</v>
      </c>
      <c r="D162" s="186" t="n">
        <v>377</v>
      </c>
      <c r="E162" s="291" t="n">
        <f aca="false">IF(ISERROR(D162/$D$157),"",D162/$D$157)</f>
        <v>0.318412162162162</v>
      </c>
      <c r="F162" s="292" t="n">
        <f aca="false">5_Produccion_Desagregada_09_10!$F$39</f>
        <v>708</v>
      </c>
      <c r="G162" s="293" t="n">
        <f aca="false">IF(ISERROR(D162/F162),"",D162/F162)</f>
        <v>0.532485875706215</v>
      </c>
    </row>
    <row collapsed="false" customFormat="false" customHeight="false" hidden="false" ht="14" outlineLevel="0" r="163">
      <c r="B163" s="289" t="str">
        <f aca="false">5_Produccion_Desagregada_09_10!$C$40</f>
        <v>Neonatología</v>
      </c>
      <c r="C163" s="290" t="str">
        <f aca="false">C$147</f>
        <v>Estudios</v>
      </c>
      <c r="D163" s="186" t="n">
        <v>26</v>
      </c>
      <c r="E163" s="291" t="n">
        <f aca="false">IF(ISERROR(D163/$D$157),"",D163/$D$157)</f>
        <v>0.0219594594594595</v>
      </c>
      <c r="F163" s="292" t="n">
        <f aca="false">5_Produccion_Desagregada_09_10!$F$40</f>
        <v>711</v>
      </c>
      <c r="G163" s="293" t="n">
        <f aca="false">IF(ISERROR(D163/F163),"",D163/F163)</f>
        <v>0.0365682137834037</v>
      </c>
    </row>
    <row collapsed="false" customFormat="false" customHeight="false" hidden="false" ht="14" outlineLevel="0" r="164">
      <c r="B164" s="289" t="str">
        <f aca="false">5_Produccion_Desagregada_09_10!$C$42</f>
        <v>Cirugía General</v>
      </c>
      <c r="C164" s="290" t="str">
        <f aca="false">C$147</f>
        <v>Estudios</v>
      </c>
      <c r="D164" s="186" t="n">
        <v>37</v>
      </c>
      <c r="E164" s="291" t="n">
        <f aca="false">IF(ISERROR(D164/$D$157),"",D164/$D$157)</f>
        <v>0.03125</v>
      </c>
      <c r="F164" s="292" t="n">
        <f aca="false">5_Produccion_Desagregada_09_10!$F$42</f>
        <v>2410</v>
      </c>
      <c r="G164" s="293" t="n">
        <f aca="false">IF(ISERROR(D164/F164),"",D164/F164)</f>
        <v>0.0153526970954357</v>
      </c>
    </row>
    <row collapsed="false" customFormat="false" customHeight="false" hidden="false" ht="14" outlineLevel="0" r="165">
      <c r="B165" s="289" t="str">
        <f aca="false">5_Produccion_Desagregada_09_10!$C$43</f>
        <v>Cirugía Plastica</v>
      </c>
      <c r="C165" s="290" t="str">
        <f aca="false">C$147</f>
        <v>Estudios</v>
      </c>
      <c r="D165" s="186" t="n">
        <v>13</v>
      </c>
      <c r="E165" s="291" t="n">
        <f aca="false">IF(ISERROR(D165/$D$157),"",D165/$D$157)</f>
        <v>0.0109797297297297</v>
      </c>
      <c r="F165" s="292" t="n">
        <f aca="false">5_Produccion_Desagregada_09_10!$F$43</f>
        <v>962</v>
      </c>
      <c r="G165" s="293" t="n">
        <f aca="false">IF(ISERROR(D165/F165),"",D165/F165)</f>
        <v>0.0135135135135135</v>
      </c>
    </row>
    <row collapsed="false" customFormat="false" customHeight="false" hidden="false" ht="14" outlineLevel="0" r="166">
      <c r="B166" s="289" t="str">
        <f aca="false">5_Produccion_Desagregada_09_10!$C$44</f>
        <v>Neurocirugía</v>
      </c>
      <c r="C166" s="290" t="str">
        <f aca="false">C$147</f>
        <v>Estudios</v>
      </c>
      <c r="D166" s="186" t="n">
        <v>205</v>
      </c>
      <c r="E166" s="291" t="n">
        <f aca="false">IF(ISERROR(D166/$D$157),"",D166/$D$157)</f>
        <v>0.173141891891892</v>
      </c>
      <c r="F166" s="292" t="n">
        <f aca="false">5_Produccion_Desagregada_09_10!$F$44</f>
        <v>1152</v>
      </c>
      <c r="G166" s="293" t="n">
        <f aca="false">IF(ISERROR(D166/F166),"",D166/F166)</f>
        <v>0.177951388888889</v>
      </c>
    </row>
    <row collapsed="false" customFormat="false" customHeight="false" hidden="false" ht="14" outlineLevel="0" r="167">
      <c r="B167" s="289" t="str">
        <f aca="false">5_Produccion_Desagregada_09_10!$C$45</f>
        <v>Oftalmología</v>
      </c>
      <c r="C167" s="290" t="str">
        <f aca="false">C$147</f>
        <v>Estudios</v>
      </c>
      <c r="D167" s="186" t="n">
        <v>48</v>
      </c>
      <c r="E167" s="291" t="n">
        <f aca="false">IF(ISERROR(D167/$D$157),"",D167/$D$157)</f>
        <v>0.0405405405405405</v>
      </c>
      <c r="F167" s="292" t="n">
        <f aca="false">5_Produccion_Desagregada_09_10!$F$45</f>
        <v>905</v>
      </c>
      <c r="G167" s="293" t="n">
        <f aca="false">IF(ISERROR(D167/F167),"",D167/F167)</f>
        <v>0.0530386740331492</v>
      </c>
    </row>
    <row collapsed="false" customFormat="false" customHeight="false" hidden="false" ht="14" outlineLevel="0" r="168">
      <c r="B168" s="289" t="str">
        <f aca="false">5_Produccion_Desagregada_09_10!$C$46</f>
        <v>Otorrinolaringología</v>
      </c>
      <c r="C168" s="290" t="str">
        <f aca="false">C$147</f>
        <v>Estudios</v>
      </c>
      <c r="D168" s="186" t="n">
        <v>17</v>
      </c>
      <c r="E168" s="291" t="n">
        <f aca="false">IF(ISERROR(D168/$D$157),"",D168/$D$157)</f>
        <v>0.0143581081081081</v>
      </c>
      <c r="F168" s="292" t="n">
        <f aca="false">5_Produccion_Desagregada_09_10!$F$46</f>
        <v>1131</v>
      </c>
      <c r="G168" s="293" t="n">
        <f aca="false">IF(ISERROR(D168/F168),"",D168/F168)</f>
        <v>0.0150309460654288</v>
      </c>
    </row>
    <row collapsed="false" customFormat="false" customHeight="false" hidden="false" ht="14" outlineLevel="0" r="169">
      <c r="B169" s="289" t="str">
        <f aca="false">5_Produccion_Desagregada_09_10!$C$47</f>
        <v>Ortopedia</v>
      </c>
      <c r="C169" s="290" t="str">
        <f aca="false">C$147</f>
        <v>Estudios</v>
      </c>
      <c r="D169" s="186" t="n">
        <v>23</v>
      </c>
      <c r="E169" s="291" t="n">
        <f aca="false">IF(ISERROR(D169/$D$157),"",D169/$D$157)</f>
        <v>0.0194256756756757</v>
      </c>
      <c r="F169" s="292" t="n">
        <f aca="false">5_Produccion_Desagregada_09_10!$F$47</f>
        <v>706</v>
      </c>
      <c r="G169" s="293" t="n">
        <f aca="false">IF(ISERROR(D169/F169),"",D169/F169)</f>
        <v>0.0325779036827195</v>
      </c>
    </row>
    <row collapsed="false" customFormat="false" customHeight="false" hidden="false" ht="14" outlineLevel="0" r="170">
      <c r="B170" s="289" t="str">
        <f aca="false">5_Produccion_Desagregada_09_10!$C$48</f>
        <v>Otros Servicios (Convenios / BM / ISSS)</v>
      </c>
      <c r="C170" s="290" t="str">
        <f aca="false">C$147</f>
        <v>Estudios</v>
      </c>
      <c r="D170" s="186" t="n">
        <v>19</v>
      </c>
      <c r="E170" s="291" t="n">
        <f aca="false">IF(ISERROR(D170/$D$157),"",D170/$D$157)</f>
        <v>0.0160472972972973</v>
      </c>
      <c r="F170" s="292" t="n">
        <f aca="false">5_Produccion_Desagregada_09_10!$F$48</f>
        <v>1073</v>
      </c>
      <c r="G170" s="293" t="n">
        <f aca="false">IF(ISERROR(D170/F170),"",D170/F170)</f>
        <v>0.0177073625349487</v>
      </c>
    </row>
    <row collapsed="false" customFormat="false" customHeight="false" hidden="false" ht="14" outlineLevel="0" r="171">
      <c r="B171" s="298" t="str">
        <f aca="false">5_Produccion_Desagregada_09_10!$C$54</f>
        <v>Cuidados Criticos</v>
      </c>
      <c r="C171" s="299"/>
      <c r="D171" s="300" t="n">
        <f aca="false">SUM(D172:D174)</f>
        <v>186</v>
      </c>
      <c r="E171" s="299" t="inlineStr">
        <f aca="false">SUM(E172:E174)</f>
        <is>
          <t/>
        </is>
      </c>
      <c r="F171" s="300" t="n">
        <f aca="false">SUM(F172:F174)</f>
        <v>1642</v>
      </c>
      <c r="G171" s="301"/>
    </row>
    <row collapsed="false" customFormat="false" customHeight="false" hidden="false" ht="14" outlineLevel="0" r="172">
      <c r="B172" s="289" t="str">
        <f aca="false">5_Produccion_Desagregada_09_10!$C$55</f>
        <v>Unidad de Cuidados Intensivos</v>
      </c>
      <c r="C172" s="290" t="str">
        <f aca="false">C$147</f>
        <v>Estudios</v>
      </c>
      <c r="D172" s="305" t="n">
        <v>142</v>
      </c>
      <c r="E172" s="291" t="n">
        <f aca="false">IF(ISERROR(D172/$D$171),"",D172/$D$171)</f>
        <v>0.763440860215054</v>
      </c>
      <c r="F172" s="292" t="n">
        <f aca="false">5_Produccion_Desagregada_09_10!$F$55</f>
        <v>926</v>
      </c>
      <c r="G172" s="293" t="n">
        <f aca="false">IF(ISERROR(D172/F172),"",D172/F172)</f>
        <v>0.153347732181425</v>
      </c>
    </row>
    <row collapsed="false" customFormat="false" customHeight="false" hidden="false" ht="14" outlineLevel="0" r="173">
      <c r="B173" s="289" t="str">
        <f aca="false">5_Produccion_Desagregada_09_10!$C$56</f>
        <v>Unidad de Cuidados Intermedios</v>
      </c>
      <c r="C173" s="290" t="str">
        <f aca="false">C$147</f>
        <v>Estudios</v>
      </c>
      <c r="D173" s="305" t="n">
        <v>34</v>
      </c>
      <c r="E173" s="291" t="n">
        <f aca="false">IF(ISERROR(D173/$D$171),"",D173/$D$171)</f>
        <v>0.182795698924731</v>
      </c>
      <c r="F173" s="292" t="n">
        <f aca="false">5_Produccion_Desagregada_09_10!$F$56</f>
        <v>247</v>
      </c>
      <c r="G173" s="293" t="n">
        <f aca="false">IF(ISERROR(D173/F173),"",D173/F173)</f>
        <v>0.137651821862348</v>
      </c>
    </row>
    <row collapsed="false" customFormat="false" customHeight="false" hidden="false" ht="14" outlineLevel="0" r="174">
      <c r="B174" s="302" t="str">
        <f aca="false">5_Produccion_Desagregada_09_10!$C$57</f>
        <v>Unidad de Cuidados Intensivos Neonatales</v>
      </c>
      <c r="C174" s="290" t="str">
        <f aca="false">C$147</f>
        <v>Estudios</v>
      </c>
      <c r="D174" s="306" t="n">
        <v>10</v>
      </c>
      <c r="E174" s="291" t="n">
        <f aca="false">IF(ISERROR(D174/$D$171),"",D174/$D$171)</f>
        <v>0.0537634408602151</v>
      </c>
      <c r="F174" s="303" t="n">
        <f aca="false">5_Produccion_Desagregada_09_10!$F$57</f>
        <v>469</v>
      </c>
      <c r="G174" s="304" t="n">
        <f aca="false">IF(ISERROR(D174/F174),"",D174/F174)</f>
        <v>0.0213219616204691</v>
      </c>
    </row>
    <row collapsed="false" customFormat="false" customHeight="false" hidden="false" ht="14" outlineLevel="0" r="175">
      <c r="A175" s="269" t="n">
        <v>3</v>
      </c>
      <c r="B175" s="277" t="s">
        <v>456</v>
      </c>
      <c r="C175" s="278"/>
      <c r="D175" s="279"/>
      <c r="E175" s="278"/>
      <c r="F175" s="278"/>
      <c r="G175" s="280"/>
    </row>
    <row collapsed="false" customFormat="false" customHeight="false" hidden="false" ht="20.85" outlineLevel="0" r="176">
      <c r="A176" s="269" t="n">
        <v>3.1</v>
      </c>
      <c r="B176" s="281" t="s">
        <v>457</v>
      </c>
      <c r="C176" s="282" t="s">
        <v>453</v>
      </c>
      <c r="D176" s="282" t="str">
        <f aca="false">"Cantidad "&amp;C176&amp;" 2010"</f>
        <v>Cantidad Estudios 2010</v>
      </c>
      <c r="E176" s="282" t="str">
        <f aca="false">"Porcentaje "&amp;C176&amp;" 2010"</f>
        <v>Porcentaje Estudios 2010</v>
      </c>
      <c r="F176" s="282" t="s">
        <v>447</v>
      </c>
      <c r="G176" s="283" t="str">
        <f aca="false">C176&amp;" por Servicio Final"</f>
        <v>Estudios por Servicio Final</v>
      </c>
    </row>
    <row collapsed="false" customFormat="false" customHeight="false" hidden="false" ht="14" outlineLevel="0" r="177">
      <c r="B177" s="284" t="str">
        <f aca="false">5_Produccion_Desagregada_09_10!$C$5</f>
        <v>Servicios Ambulatorios</v>
      </c>
      <c r="C177" s="285"/>
      <c r="D177" s="286" t="n">
        <f aca="false">SUM(D178:D184)</f>
        <v>1878</v>
      </c>
      <c r="E177" s="287" t="inlineStr">
        <f aca="false">SUM(E178:E184)</f>
        <is>
          <t/>
        </is>
      </c>
      <c r="F177" s="286" t="n">
        <f aca="false">SUM(F179:F184)</f>
        <v>248597</v>
      </c>
      <c r="G177" s="288"/>
    </row>
    <row collapsed="false" customFormat="false" customHeight="false" hidden="false" ht="14" outlineLevel="0" r="178">
      <c r="B178" s="289" t="str">
        <f aca="false">5_Produccion_Desagregada_09_10!$C$7</f>
        <v>Consulta General </v>
      </c>
      <c r="C178" s="290" t="str">
        <f aca="false">C$176</f>
        <v>Estudios</v>
      </c>
      <c r="D178" s="305" t="n">
        <v>0</v>
      </c>
      <c r="E178" s="291" t="n">
        <f aca="false">IF(ISERROR(D178/$D$177),"",D178/$D$177)</f>
        <v>0</v>
      </c>
      <c r="F178" s="292" t="n">
        <f aca="false">5_Produccion_Desagregada_09_10!$F$7</f>
        <v>0</v>
      </c>
      <c r="G178" s="293" t="str">
        <f aca="false">IF(ISERROR(D178/F178),"",D178/F178)</f>
        <v/>
      </c>
    </row>
    <row collapsed="false" customFormat="false" customHeight="false" hidden="false" ht="14" outlineLevel="0" r="179">
      <c r="B179" s="289" t="str">
        <f aca="false">5_Produccion_Desagregada_09_10!$C$9</f>
        <v>Consultas de Especializadades Básicas</v>
      </c>
      <c r="C179" s="290" t="str">
        <f aca="false">C$176</f>
        <v>Estudios</v>
      </c>
      <c r="D179" s="305" t="n">
        <v>0</v>
      </c>
      <c r="E179" s="291" t="n">
        <f aca="false">IF(ISERROR(D179/$D$177),"",D179/$D$177)</f>
        <v>0</v>
      </c>
      <c r="F179" s="292" t="n">
        <f aca="false">5_Produccion_Desagregada_09_10!$F$9</f>
        <v>0</v>
      </c>
      <c r="G179" s="293" t="str">
        <f aca="false">IF(ISERROR(D179/F179),"",D179/F179)</f>
        <v/>
      </c>
    </row>
    <row collapsed="false" customFormat="false" customHeight="false" hidden="false" ht="14" outlineLevel="0" r="180">
      <c r="B180" s="289" t="str">
        <f aca="false">5_Produccion_Desagregada_09_10!$C$12</f>
        <v>Consultas de Sub Especializadades</v>
      </c>
      <c r="C180" s="290" t="str">
        <f aca="false">C$176</f>
        <v>Estudios</v>
      </c>
      <c r="D180" s="305" t="n">
        <v>0</v>
      </c>
      <c r="E180" s="291" t="n">
        <f aca="false">IF(ISERROR(D180/$D$177),"",D180/$D$177)</f>
        <v>0</v>
      </c>
      <c r="F180" s="292" t="n">
        <f aca="false">5_Produccion_Desagregada_09_10!$F$12</f>
        <v>207721</v>
      </c>
      <c r="G180" s="293" t="n">
        <f aca="false">IF(ISERROR(D180/F180),"",D180/F180)</f>
        <v>0</v>
      </c>
    </row>
    <row collapsed="false" customFormat="false" customHeight="false" hidden="false" ht="14" outlineLevel="0" r="181">
      <c r="B181" s="289" t="str">
        <f aca="false">5_Produccion_Desagregada_09_10!$C$17</f>
        <v>Consultas de Emergencia de Medicina Interna Pediatrica</v>
      </c>
      <c r="C181" s="290" t="str">
        <f aca="false">C$176</f>
        <v>Estudios</v>
      </c>
      <c r="D181" s="305" t="n">
        <f aca="false">1857+17</f>
        <v>1874</v>
      </c>
      <c r="E181" s="291" t="n">
        <f aca="false">IF(ISERROR(D181/$D$177),"",D181/$D$177)</f>
        <v>0.997870074547391</v>
      </c>
      <c r="F181" s="292" t="n">
        <f aca="false">5_Produccion_Desagregada_09_10!$F$17</f>
        <v>9804</v>
      </c>
      <c r="G181" s="293" t="n">
        <f aca="false">IF(ISERROR(D181/F181),"",D181/F181)</f>
        <v>0.191146470828233</v>
      </c>
    </row>
    <row collapsed="false" customFormat="false" customHeight="false" hidden="false" ht="14" outlineLevel="0" r="182">
      <c r="B182" s="289" t="str">
        <f aca="false">5_Produccion_Desagregada_09_10!$C$18</f>
        <v>Consultas de Emergencia de Cirugia General Pediatrica</v>
      </c>
      <c r="C182" s="290" t="str">
        <f aca="false">C$176</f>
        <v>Estudios</v>
      </c>
      <c r="D182" s="305" t="n">
        <v>4</v>
      </c>
      <c r="E182" s="291" t="n">
        <f aca="false">IF(ISERROR(D182/$D$177),"",D182/$D$177)</f>
        <v>0.00212992545260916</v>
      </c>
      <c r="F182" s="292" t="n">
        <f aca="false">5_Produccion_Desagregada_09_10!$F$18</f>
        <v>13464</v>
      </c>
      <c r="G182" s="293" t="n">
        <f aca="false">IF(ISERROR(D182/F182),"",D182/F182)</f>
        <v>0.00029708853238265</v>
      </c>
    </row>
    <row collapsed="false" customFormat="false" customHeight="false" hidden="false" ht="14" outlineLevel="0" r="183">
      <c r="B183" s="289" t="str">
        <f aca="false">5_Produccion_Desagregada_09_10!$C$20</f>
        <v>Consulta de Odontologia General</v>
      </c>
      <c r="C183" s="290" t="str">
        <f aca="false">C$176</f>
        <v>Estudios</v>
      </c>
      <c r="D183" s="305" t="n">
        <v>0</v>
      </c>
      <c r="E183" s="291" t="n">
        <f aca="false">IF(ISERROR(D183/$D$177),"",D183/$D$177)</f>
        <v>0</v>
      </c>
      <c r="F183" s="292" t="n">
        <f aca="false">5_Produccion_Desagregada_09_10!$F$20</f>
        <v>16487</v>
      </c>
      <c r="G183" s="293" t="n">
        <f aca="false">IF(ISERROR(D183/F183),"",D183/F183)</f>
        <v>0</v>
      </c>
    </row>
    <row collapsed="false" customFormat="false" customHeight="false" hidden="false" ht="14" outlineLevel="0" r="184">
      <c r="B184" s="289" t="str">
        <f aca="false">5_Produccion_Desagregada_09_10!$C$21</f>
        <v>Consulta de Ortodoncia</v>
      </c>
      <c r="C184" s="290" t="str">
        <f aca="false">C$176</f>
        <v>Estudios</v>
      </c>
      <c r="D184" s="305" t="n">
        <v>0</v>
      </c>
      <c r="E184" s="291" t="n">
        <f aca="false">IF(ISERROR(D184/$D$177),"",D184/$D$177)</f>
        <v>0</v>
      </c>
      <c r="F184" s="292" t="n">
        <f aca="false">5_Produccion_Desagregada_09_10!$F$21</f>
        <v>1121</v>
      </c>
      <c r="G184" s="293" t="n">
        <f aca="false">IF(ISERROR(D184/F184),"",D184/F184)</f>
        <v>0</v>
      </c>
    </row>
    <row collapsed="false" customFormat="false" customHeight="false" hidden="false" ht="14" outlineLevel="0" r="185">
      <c r="B185" s="294" t="str">
        <f aca="false">5_Produccion_Desagregada_09_10!$C$32</f>
        <v>Servicios Hospitalarios </v>
      </c>
      <c r="C185" s="295"/>
      <c r="D185" s="296" t="n">
        <f aca="false">SUM(D186,D200)</f>
        <v>275</v>
      </c>
      <c r="E185" s="295"/>
      <c r="F185" s="296" t="n">
        <f aca="false">SUM(F186,F200)</f>
        <v>16069</v>
      </c>
      <c r="G185" s="297"/>
    </row>
    <row collapsed="false" customFormat="false" customHeight="false" hidden="false" ht="14" outlineLevel="0" r="186">
      <c r="B186" s="298" t="str">
        <f aca="false">5_Produccion_Desagregada_09_10!$C$33</f>
        <v>Egresos</v>
      </c>
      <c r="C186" s="299"/>
      <c r="D186" s="300" t="n">
        <f aca="false">SUM(D187:D199)</f>
        <v>255</v>
      </c>
      <c r="E186" s="299" t="inlineStr">
        <f aca="false">SUM(E187:E199)</f>
        <is>
          <t/>
        </is>
      </c>
      <c r="F186" s="300" t="n">
        <f aca="false">SUM(F187:F199)</f>
        <v>14427</v>
      </c>
      <c r="G186" s="301"/>
    </row>
    <row collapsed="false" customFormat="false" customHeight="false" hidden="false" ht="14" outlineLevel="0" r="187">
      <c r="B187" s="289" t="str">
        <f aca="false">5_Produccion_Desagregada_09_10!$C$35</f>
        <v>Medicina Interna </v>
      </c>
      <c r="C187" s="290" t="str">
        <f aca="false">C$176</f>
        <v>Estudios</v>
      </c>
      <c r="D187" s="186" t="n">
        <v>107</v>
      </c>
      <c r="E187" s="291" t="n">
        <f aca="false">IF(ISERROR(D187/$D$186),"",D187/$D$186)</f>
        <v>0.419607843137255</v>
      </c>
      <c r="F187" s="292" t="n">
        <f aca="false">5_Produccion_Desagregada_09_10!$F$35</f>
        <v>1106</v>
      </c>
      <c r="G187" s="293" t="n">
        <f aca="false">IF(ISERROR(D187/F187),"",D187/F187)</f>
        <v>0.096745027124774</v>
      </c>
    </row>
    <row collapsed="false" customFormat="false" customHeight="false" hidden="false" ht="14" outlineLevel="0" r="188">
      <c r="B188" s="289" t="str">
        <f aca="false">5_Produccion_Desagregada_09_10!$C$36</f>
        <v>Infectología</v>
      </c>
      <c r="C188" s="290" t="str">
        <f aca="false">C$176</f>
        <v>Estudios</v>
      </c>
      <c r="D188" s="186" t="n">
        <v>52</v>
      </c>
      <c r="E188" s="291" t="n">
        <f aca="false">IF(ISERROR(D188/$D$186),"",D188/$D$186)</f>
        <v>0.203921568627451</v>
      </c>
      <c r="F188" s="292" t="n">
        <f aca="false">5_Produccion_Desagregada_09_10!$F$36</f>
        <v>2282</v>
      </c>
      <c r="G188" s="293" t="n">
        <f aca="false">IF(ISERROR(D188/F188),"",D188/F188)</f>
        <v>0.0227870289219982</v>
      </c>
    </row>
    <row collapsed="false" customFormat="false" customHeight="false" hidden="false" ht="14" outlineLevel="0" r="189">
      <c r="B189" s="289" t="str">
        <f aca="false">5_Produccion_Desagregada_09_10!$C$37</f>
        <v>Nefrología</v>
      </c>
      <c r="C189" s="290" t="str">
        <f aca="false">C$176</f>
        <v>Estudios</v>
      </c>
      <c r="D189" s="186" t="n">
        <v>7</v>
      </c>
      <c r="E189" s="291" t="n">
        <f aca="false">IF(ISERROR(D189/$D$186),"",D189/$D$186)</f>
        <v>0.0274509803921569</v>
      </c>
      <c r="F189" s="292" t="n">
        <f aca="false">5_Produccion_Desagregada_09_10!$F$37</f>
        <v>323</v>
      </c>
      <c r="G189" s="293" t="n">
        <f aca="false">IF(ISERROR(D189/F189),"",D189/F189)</f>
        <v>0.021671826625387</v>
      </c>
    </row>
    <row collapsed="false" customFormat="false" customHeight="false" hidden="false" ht="14" outlineLevel="0" r="190">
      <c r="B190" s="289" t="str">
        <f aca="false">5_Produccion_Desagregada_09_10!$C$38</f>
        <v>Hematología</v>
      </c>
      <c r="C190" s="290" t="str">
        <f aca="false">C$176</f>
        <v>Estudios</v>
      </c>
      <c r="D190" s="186" t="n">
        <v>25</v>
      </c>
      <c r="E190" s="291" t="n">
        <f aca="false">IF(ISERROR(D190/$D$186),"",D190/$D$186)</f>
        <v>0.0980392156862745</v>
      </c>
      <c r="F190" s="292" t="n">
        <f aca="false">5_Produccion_Desagregada_09_10!$F$38</f>
        <v>958</v>
      </c>
      <c r="G190" s="293" t="n">
        <f aca="false">IF(ISERROR(D190/F190),"",D190/F190)</f>
        <v>0.0260960334029228</v>
      </c>
    </row>
    <row collapsed="false" customFormat="false" customHeight="false" hidden="false" ht="14" outlineLevel="0" r="191">
      <c r="B191" s="289" t="str">
        <f aca="false">5_Produccion_Desagregada_09_10!$C$39</f>
        <v>Oncología</v>
      </c>
      <c r="C191" s="290" t="str">
        <f aca="false">C$176</f>
        <v>Estudios</v>
      </c>
      <c r="D191" s="186" t="n">
        <v>14</v>
      </c>
      <c r="E191" s="291" t="n">
        <f aca="false">IF(ISERROR(D191/$D$186),"",D191/$D$186)</f>
        <v>0.0549019607843137</v>
      </c>
      <c r="F191" s="292" t="n">
        <f aca="false">5_Produccion_Desagregada_09_10!$F$39</f>
        <v>708</v>
      </c>
      <c r="G191" s="293" t="n">
        <f aca="false">IF(ISERROR(D191/F191),"",D191/F191)</f>
        <v>0.019774011299435</v>
      </c>
    </row>
    <row collapsed="false" customFormat="false" customHeight="false" hidden="false" ht="14" outlineLevel="0" r="192">
      <c r="B192" s="289" t="str">
        <f aca="false">5_Produccion_Desagregada_09_10!$C$40</f>
        <v>Neonatología</v>
      </c>
      <c r="C192" s="290" t="str">
        <f aca="false">C$176</f>
        <v>Estudios</v>
      </c>
      <c r="D192" s="186" t="n">
        <v>40</v>
      </c>
      <c r="E192" s="291" t="n">
        <f aca="false">IF(ISERROR(D192/$D$186),"",D192/$D$186)</f>
        <v>0.156862745098039</v>
      </c>
      <c r="F192" s="292" t="n">
        <f aca="false">5_Produccion_Desagregada_09_10!$F$40</f>
        <v>711</v>
      </c>
      <c r="G192" s="293" t="n">
        <f aca="false">IF(ISERROR(D192/F192),"",D192/F192)</f>
        <v>0.0562587904360056</v>
      </c>
    </row>
    <row collapsed="false" customFormat="false" customHeight="false" hidden="false" ht="14" outlineLevel="0" r="193">
      <c r="B193" s="289" t="str">
        <f aca="false">5_Produccion_Desagregada_09_10!$C$42</f>
        <v>Cirugía General</v>
      </c>
      <c r="C193" s="290" t="str">
        <f aca="false">C$176</f>
        <v>Estudios</v>
      </c>
      <c r="D193" s="186" t="n">
        <v>1</v>
      </c>
      <c r="E193" s="291" t="n">
        <f aca="false">IF(ISERROR(D193/$D$186),"",D193/$D$186)</f>
        <v>0.00392156862745098</v>
      </c>
      <c r="F193" s="292" t="n">
        <f aca="false">5_Produccion_Desagregada_09_10!$F$42</f>
        <v>2410</v>
      </c>
      <c r="G193" s="293" t="n">
        <f aca="false">IF(ISERROR(D193/F193),"",D193/F193)</f>
        <v>0.0004149377593361</v>
      </c>
    </row>
    <row collapsed="false" customFormat="false" customHeight="false" hidden="false" ht="14" outlineLevel="0" r="194">
      <c r="B194" s="289" t="str">
        <f aca="false">5_Produccion_Desagregada_09_10!$C$43</f>
        <v>Cirugía Plastica</v>
      </c>
      <c r="C194" s="290" t="str">
        <f aca="false">C$176</f>
        <v>Estudios</v>
      </c>
      <c r="D194" s="186" t="n">
        <v>2</v>
      </c>
      <c r="E194" s="291" t="n">
        <f aca="false">IF(ISERROR(D194/$D$186),"",D194/$D$186)</f>
        <v>0.00784313725490196</v>
      </c>
      <c r="F194" s="292" t="n">
        <f aca="false">5_Produccion_Desagregada_09_10!$F$43</f>
        <v>962</v>
      </c>
      <c r="G194" s="293" t="n">
        <f aca="false">IF(ISERROR(D194/F194),"",D194/F194)</f>
        <v>0.00207900207900208</v>
      </c>
    </row>
    <row collapsed="false" customFormat="false" customHeight="false" hidden="false" ht="14" outlineLevel="0" r="195">
      <c r="B195" s="289" t="str">
        <f aca="false">5_Produccion_Desagregada_09_10!$C$44</f>
        <v>Neurocirugía</v>
      </c>
      <c r="C195" s="290" t="str">
        <f aca="false">C$176</f>
        <v>Estudios</v>
      </c>
      <c r="D195" s="186" t="n">
        <v>7</v>
      </c>
      <c r="E195" s="291" t="n">
        <f aca="false">IF(ISERROR(D195/$D$186),"",D195/$D$186)</f>
        <v>0.0274509803921569</v>
      </c>
      <c r="F195" s="292" t="n">
        <f aca="false">5_Produccion_Desagregada_09_10!$F$44</f>
        <v>1152</v>
      </c>
      <c r="G195" s="293" t="n">
        <f aca="false">IF(ISERROR(D195/F195),"",D195/F195)</f>
        <v>0.00607638888888889</v>
      </c>
    </row>
    <row collapsed="false" customFormat="false" customHeight="false" hidden="false" ht="14" outlineLevel="0" r="196">
      <c r="B196" s="289" t="str">
        <f aca="false">5_Produccion_Desagregada_09_10!$C$45</f>
        <v>Oftalmología</v>
      </c>
      <c r="C196" s="290" t="str">
        <f aca="false">C$176</f>
        <v>Estudios</v>
      </c>
      <c r="D196" s="186" t="n">
        <v>0</v>
      </c>
      <c r="E196" s="291" t="n">
        <f aca="false">IF(ISERROR(D196/$D$186),"",D196/$D$186)</f>
        <v>0</v>
      </c>
      <c r="F196" s="292" t="n">
        <f aca="false">5_Produccion_Desagregada_09_10!$F$45</f>
        <v>905</v>
      </c>
      <c r="G196" s="293" t="n">
        <f aca="false">IF(ISERROR(D196/F196),"",D196/F196)</f>
        <v>0</v>
      </c>
    </row>
    <row collapsed="false" customFormat="false" customHeight="false" hidden="false" ht="14" outlineLevel="0" r="197">
      <c r="B197" s="289" t="str">
        <f aca="false">5_Produccion_Desagregada_09_10!$C$46</f>
        <v>Otorrinolaringología</v>
      </c>
      <c r="C197" s="290" t="str">
        <f aca="false">C$176</f>
        <v>Estudios</v>
      </c>
      <c r="D197" s="186" t="n">
        <v>0</v>
      </c>
      <c r="E197" s="291" t="n">
        <f aca="false">IF(ISERROR(D197/$D$186),"",D197/$D$186)</f>
        <v>0</v>
      </c>
      <c r="F197" s="292" t="n">
        <f aca="false">5_Produccion_Desagregada_09_10!$F$46</f>
        <v>1131</v>
      </c>
      <c r="G197" s="293" t="n">
        <f aca="false">IF(ISERROR(D197/F197),"",D197/F197)</f>
        <v>0</v>
      </c>
    </row>
    <row collapsed="false" customFormat="false" customHeight="false" hidden="false" ht="14" outlineLevel="0" r="198">
      <c r="B198" s="289" t="str">
        <f aca="false">5_Produccion_Desagregada_09_10!$C$47</f>
        <v>Ortopedia</v>
      </c>
      <c r="C198" s="290" t="str">
        <f aca="false">C$176</f>
        <v>Estudios</v>
      </c>
      <c r="D198" s="186" t="n">
        <v>0</v>
      </c>
      <c r="E198" s="291" t="n">
        <f aca="false">IF(ISERROR(D198/$D$186),"",D198/$D$186)</f>
        <v>0</v>
      </c>
      <c r="F198" s="292" t="n">
        <f aca="false">5_Produccion_Desagregada_09_10!$F$47</f>
        <v>706</v>
      </c>
      <c r="G198" s="293" t="n">
        <f aca="false">IF(ISERROR(D198/F198),"",D198/F198)</f>
        <v>0</v>
      </c>
    </row>
    <row collapsed="false" customFormat="false" customHeight="false" hidden="false" ht="14" outlineLevel="0" r="199">
      <c r="B199" s="289" t="str">
        <f aca="false">5_Produccion_Desagregada_09_10!$C$48</f>
        <v>Otros Servicios (Convenios / BM / ISSS)</v>
      </c>
      <c r="C199" s="290" t="str">
        <f aca="false">C$176</f>
        <v>Estudios</v>
      </c>
      <c r="D199" s="186" t="n">
        <v>0</v>
      </c>
      <c r="E199" s="291" t="n">
        <f aca="false">IF(ISERROR(D199/$D$186),"",D199/$D$186)</f>
        <v>0</v>
      </c>
      <c r="F199" s="292" t="n">
        <f aca="false">5_Produccion_Desagregada_09_10!$F$48</f>
        <v>1073</v>
      </c>
      <c r="G199" s="293" t="n">
        <f aca="false">IF(ISERROR(D199/F199),"",D199/F199)</f>
        <v>0</v>
      </c>
    </row>
    <row collapsed="false" customFormat="false" customHeight="false" hidden="false" ht="14" outlineLevel="0" r="200">
      <c r="B200" s="298" t="str">
        <f aca="false">5_Produccion_Desagregada_09_10!$C$54</f>
        <v>Cuidados Criticos</v>
      </c>
      <c r="C200" s="299"/>
      <c r="D200" s="300" t="n">
        <f aca="false">SUM(D201:D203)</f>
        <v>20</v>
      </c>
      <c r="E200" s="299" t="inlineStr">
        <f aca="false">SUM(E201:E203)</f>
        <is>
          <t/>
        </is>
      </c>
      <c r="F200" s="300" t="n">
        <f aca="false">SUM(F201:F203)</f>
        <v>1642</v>
      </c>
      <c r="G200" s="301"/>
    </row>
    <row collapsed="false" customFormat="false" customHeight="false" hidden="false" ht="14" outlineLevel="0" r="201">
      <c r="B201" s="289" t="str">
        <f aca="false">5_Produccion_Desagregada_09_10!$C$55</f>
        <v>Unidad de Cuidados Intensivos</v>
      </c>
      <c r="C201" s="290" t="str">
        <f aca="false">C$176</f>
        <v>Estudios</v>
      </c>
      <c r="D201" s="305" t="n">
        <v>13</v>
      </c>
      <c r="E201" s="291" t="n">
        <f aca="false">IF(ISERROR(D201/$D$200),"",D201/$D$200)</f>
        <v>0.65</v>
      </c>
      <c r="F201" s="292" t="n">
        <f aca="false">5_Produccion_Desagregada_09_10!$F$55</f>
        <v>926</v>
      </c>
      <c r="G201" s="293" t="n">
        <f aca="false">IF(ISERROR(D201/F201),"",D201/F201)</f>
        <v>0.0140388768898488</v>
      </c>
    </row>
    <row collapsed="false" customFormat="false" customHeight="false" hidden="false" ht="14" outlineLevel="0" r="202">
      <c r="B202" s="289" t="str">
        <f aca="false">5_Produccion_Desagregada_09_10!$C$56</f>
        <v>Unidad de Cuidados Intermedios</v>
      </c>
      <c r="C202" s="290" t="str">
        <f aca="false">C$176</f>
        <v>Estudios</v>
      </c>
      <c r="D202" s="305" t="n">
        <v>6</v>
      </c>
      <c r="E202" s="291" t="n">
        <f aca="false">IF(ISERROR(D202/$D$200),"",D202/$D$200)</f>
        <v>0.3</v>
      </c>
      <c r="F202" s="292" t="n">
        <f aca="false">5_Produccion_Desagregada_09_10!$F$56</f>
        <v>247</v>
      </c>
      <c r="G202" s="293" t="n">
        <f aca="false">IF(ISERROR(D202/F202),"",D202/F202)</f>
        <v>0.0242914979757085</v>
      </c>
    </row>
    <row collapsed="false" customFormat="false" customHeight="false" hidden="false" ht="14" outlineLevel="0" r="203">
      <c r="B203" s="302" t="str">
        <f aca="false">5_Produccion_Desagregada_09_10!$C$57</f>
        <v>Unidad de Cuidados Intensivos Neonatales</v>
      </c>
      <c r="C203" s="290" t="str">
        <f aca="false">C$176</f>
        <v>Estudios</v>
      </c>
      <c r="D203" s="306" t="n">
        <v>1</v>
      </c>
      <c r="E203" s="291" t="n">
        <f aca="false">IF(ISERROR(D203/$D$200),"",D203/$D$200)</f>
        <v>0.05</v>
      </c>
      <c r="F203" s="303" t="n">
        <f aca="false">5_Produccion_Desagregada_09_10!$F$57</f>
        <v>469</v>
      </c>
      <c r="G203" s="304" t="n">
        <f aca="false">IF(ISERROR(D203/F203),"",D203/F203)</f>
        <v>0.00213219616204691</v>
      </c>
    </row>
    <row collapsed="false" customFormat="false" customHeight="false" hidden="false" ht="20.85" outlineLevel="0" r="204">
      <c r="A204" s="269" t="n">
        <v>3.2</v>
      </c>
      <c r="B204" s="281" t="s">
        <v>458</v>
      </c>
      <c r="C204" s="282" t="s">
        <v>453</v>
      </c>
      <c r="D204" s="282" t="str">
        <f aca="false">"Cantidad "&amp;C204&amp;" 2010"</f>
        <v>Cantidad Estudios 2010</v>
      </c>
      <c r="E204" s="282" t="str">
        <f aca="false">"Porcentaje "&amp;C204&amp;" 2010"</f>
        <v>Porcentaje Estudios 2010</v>
      </c>
      <c r="F204" s="282" t="s">
        <v>447</v>
      </c>
      <c r="G204" s="283" t="str">
        <f aca="false">C204&amp;" por Servicio Final"</f>
        <v>Estudios por Servicio Final</v>
      </c>
    </row>
    <row collapsed="false" customFormat="false" customHeight="false" hidden="false" ht="14" outlineLevel="0" r="205">
      <c r="B205" s="284" t="str">
        <f aca="false">5_Produccion_Desagregada_09_10!$C$5</f>
        <v>Servicios Ambulatorios</v>
      </c>
      <c r="C205" s="285"/>
      <c r="D205" s="286" t="n">
        <f aca="false">SUM(D206:D212)</f>
        <v>2721</v>
      </c>
      <c r="E205" s="287" t="inlineStr">
        <f aca="false">SUM(E206:E212)</f>
        <is>
          <t/>
        </is>
      </c>
      <c r="F205" s="286" t="n">
        <f aca="false">SUM(F207:F212)</f>
        <v>248597</v>
      </c>
      <c r="G205" s="288"/>
    </row>
    <row collapsed="false" customFormat="false" customHeight="false" hidden="false" ht="14" outlineLevel="0" r="206">
      <c r="B206" s="289" t="str">
        <f aca="false">5_Produccion_Desagregada_09_10!$C$7</f>
        <v>Consulta General </v>
      </c>
      <c r="C206" s="290" t="str">
        <f aca="false">C$204</f>
        <v>Estudios</v>
      </c>
      <c r="D206" s="305" t="n">
        <v>0</v>
      </c>
      <c r="E206" s="291" t="n">
        <f aca="false">IF(ISERROR(D206/$D$205),"",D206/$D$205)</f>
        <v>0</v>
      </c>
      <c r="F206" s="292" t="n">
        <f aca="false">5_Produccion_Desagregada_09_10!$F$7</f>
        <v>0</v>
      </c>
      <c r="G206" s="293" t="str">
        <f aca="false">IF(ISERROR(D206/F206),"",D206/F206)</f>
        <v/>
      </c>
    </row>
    <row collapsed="false" customFormat="false" customHeight="false" hidden="false" ht="14" outlineLevel="0" r="207">
      <c r="B207" s="289" t="str">
        <f aca="false">5_Produccion_Desagregada_09_10!$C$9</f>
        <v>Consultas de Especializadades Básicas</v>
      </c>
      <c r="C207" s="290" t="str">
        <f aca="false">C$204</f>
        <v>Estudios</v>
      </c>
      <c r="D207" s="305" t="n">
        <v>0</v>
      </c>
      <c r="E207" s="291" t="n">
        <f aca="false">IF(ISERROR(D207/$D$205),"",D207/$D$205)</f>
        <v>0</v>
      </c>
      <c r="F207" s="292" t="n">
        <f aca="false">5_Produccion_Desagregada_09_10!$F$9</f>
        <v>0</v>
      </c>
      <c r="G207" s="293" t="str">
        <f aca="false">IF(ISERROR(D207/F207),"",D207/F207)</f>
        <v/>
      </c>
    </row>
    <row collapsed="false" customFormat="false" customHeight="false" hidden="false" ht="14" outlineLevel="0" r="208">
      <c r="B208" s="289" t="str">
        <f aca="false">5_Produccion_Desagregada_09_10!$C$12</f>
        <v>Consultas de Sub Especializadades</v>
      </c>
      <c r="C208" s="290" t="str">
        <f aca="false">C$204</f>
        <v>Estudios</v>
      </c>
      <c r="D208" s="305" t="n">
        <f aca="false">2681+6</f>
        <v>2687</v>
      </c>
      <c r="E208" s="291" t="b">
        <f aca="false">IF(ISERROR(#REF!/$D$205),"",#REF!/$D$205)))</f>
        <v>1</v>
      </c>
      <c r="F208" s="292" t="n">
        <f aca="false">5_Produccion_Desagregada_09_10!$F$12</f>
        <v>207721</v>
      </c>
      <c r="G208" s="293" t="b">
        <f aca="false">IF(ISERROR(#REF!/F208),"",#REF!/F208)))</f>
        <v>1</v>
      </c>
    </row>
    <row collapsed="false" customFormat="false" customHeight="false" hidden="false" ht="14" outlineLevel="0" r="209">
      <c r="B209" s="289" t="str">
        <f aca="false">5_Produccion_Desagregada_09_10!$C$17</f>
        <v>Consultas de Emergencia de Medicina Interna Pediatrica</v>
      </c>
      <c r="C209" s="290" t="str">
        <f aca="false">C$204</f>
        <v>Estudios</v>
      </c>
      <c r="D209" s="305" t="n">
        <v>28</v>
      </c>
      <c r="E209" s="291" t="n">
        <f aca="false">IF(ISERROR(D208/$D$205),"",D208/$D$205)</f>
        <v>0.987504593899302</v>
      </c>
      <c r="F209" s="292" t="n">
        <f aca="false">5_Produccion_Desagregada_09_10!$F$17</f>
        <v>9804</v>
      </c>
      <c r="G209" s="293" t="n">
        <f aca="false">IF(ISERROR(D208/F209),"",D208/F209)</f>
        <v>0.274071807425541</v>
      </c>
    </row>
    <row collapsed="false" customFormat="false" customHeight="false" hidden="false" ht="14" outlineLevel="0" r="210">
      <c r="B210" s="289" t="str">
        <f aca="false">5_Produccion_Desagregada_09_10!$C$18</f>
        <v>Consultas de Emergencia de Cirugia General Pediatrica</v>
      </c>
      <c r="C210" s="290" t="str">
        <f aca="false">C$204</f>
        <v>Estudios</v>
      </c>
      <c r="D210" s="307" t="n">
        <v>0</v>
      </c>
      <c r="E210" s="291" t="n">
        <f aca="false">IF(ISERROR(D209/$D$205),"",D209/$D$205)</f>
        <v>0.0102903344358692</v>
      </c>
      <c r="F210" s="292" t="n">
        <f aca="false">5_Produccion_Desagregada_09_10!$F$18</f>
        <v>13464</v>
      </c>
      <c r="G210" s="293" t="n">
        <f aca="false">IF(ISERROR(D209/F210),"",D209/F210)</f>
        <v>0.00207961972667855</v>
      </c>
    </row>
    <row collapsed="false" customFormat="false" customHeight="false" hidden="false" ht="14" outlineLevel="0" r="211">
      <c r="B211" s="289" t="str">
        <f aca="false">5_Produccion_Desagregada_09_10!$C$20</f>
        <v>Consulta de Odontologia General</v>
      </c>
      <c r="C211" s="290" t="str">
        <f aca="false">C$204</f>
        <v>Estudios</v>
      </c>
      <c r="D211" s="305" t="n">
        <v>6</v>
      </c>
      <c r="E211" s="291" t="n">
        <f aca="false">IF(ISERROR(D211/$D$205),"",D211/$D$205)</f>
        <v>0.00220507166482911</v>
      </c>
      <c r="F211" s="292" t="n">
        <f aca="false">5_Produccion_Desagregada_09_10!$F$20</f>
        <v>16487</v>
      </c>
      <c r="G211" s="293" t="n">
        <f aca="false">IF(ISERROR(D211/F211),"",D211/F211)</f>
        <v>0.000363923090920119</v>
      </c>
    </row>
    <row collapsed="false" customFormat="false" customHeight="false" hidden="false" ht="14" outlineLevel="0" r="212">
      <c r="B212" s="289" t="str">
        <f aca="false">5_Produccion_Desagregada_09_10!$C$21</f>
        <v>Consulta de Ortodoncia</v>
      </c>
      <c r="C212" s="290" t="str">
        <f aca="false">C$204</f>
        <v>Estudios</v>
      </c>
      <c r="D212" s="305" t="n">
        <v>0</v>
      </c>
      <c r="E212" s="291" t="n">
        <f aca="false">IF(ISERROR(D212/$D$205),"",D212/$D$205)</f>
        <v>0</v>
      </c>
      <c r="F212" s="292" t="n">
        <f aca="false">5_Produccion_Desagregada_09_10!$F$21</f>
        <v>1121</v>
      </c>
      <c r="G212" s="293" t="n">
        <f aca="false">IF(ISERROR(D212/F212),"",D212/F212)</f>
        <v>0</v>
      </c>
    </row>
    <row collapsed="false" customFormat="false" customHeight="false" hidden="false" ht="14" outlineLevel="0" r="213">
      <c r="B213" s="294" t="str">
        <f aca="false">5_Produccion_Desagregada_09_10!$C$32</f>
        <v>Servicios Hospitalarios </v>
      </c>
      <c r="C213" s="295"/>
      <c r="D213" s="296" t="n">
        <f aca="false">SUM(D214,D228)</f>
        <v>538</v>
      </c>
      <c r="E213" s="295"/>
      <c r="F213" s="296" t="n">
        <f aca="false">SUM(F214,F228)</f>
        <v>16069</v>
      </c>
      <c r="G213" s="297"/>
    </row>
    <row collapsed="false" customFormat="false" customHeight="false" hidden="false" ht="14" outlineLevel="0" r="214">
      <c r="B214" s="298" t="str">
        <f aca="false">5_Produccion_Desagregada_09_10!$C$33</f>
        <v>Egresos</v>
      </c>
      <c r="C214" s="299"/>
      <c r="D214" s="300" t="n">
        <f aca="false">SUM(D215:D227)</f>
        <v>429</v>
      </c>
      <c r="E214" s="299" t="inlineStr">
        <f aca="false">SUM(E215:E227)</f>
        <is>
          <t/>
        </is>
      </c>
      <c r="F214" s="300" t="n">
        <f aca="false">SUM(F215:F227)</f>
        <v>14427</v>
      </c>
      <c r="G214" s="301"/>
    </row>
    <row collapsed="false" customFormat="false" customHeight="false" hidden="false" ht="14" outlineLevel="0" r="215">
      <c r="B215" s="289" t="str">
        <f aca="false">5_Produccion_Desagregada_09_10!$C$35</f>
        <v>Medicina Interna </v>
      </c>
      <c r="C215" s="290" t="str">
        <f aca="false">C$204</f>
        <v>Estudios</v>
      </c>
      <c r="D215" s="186" t="n">
        <v>135</v>
      </c>
      <c r="E215" s="291" t="n">
        <f aca="false">IF(ISERROR(D215/$D$214),"",D215/$D$214)</f>
        <v>0.314685314685315</v>
      </c>
      <c r="F215" s="292" t="n">
        <f aca="false">5_Produccion_Desagregada_09_10!$F$35</f>
        <v>1106</v>
      </c>
      <c r="G215" s="293" t="n">
        <f aca="false">IF(ISERROR(D215/F215),"",D215/F215)</f>
        <v>0.122061482820976</v>
      </c>
    </row>
    <row collapsed="false" customFormat="false" customHeight="false" hidden="false" ht="14" outlineLevel="0" r="216">
      <c r="B216" s="289" t="str">
        <f aca="false">5_Produccion_Desagregada_09_10!$C$36</f>
        <v>Infectología</v>
      </c>
      <c r="C216" s="290" t="str">
        <f aca="false">C$204</f>
        <v>Estudios</v>
      </c>
      <c r="D216" s="186" t="n">
        <v>104</v>
      </c>
      <c r="E216" s="291" t="n">
        <f aca="false">IF(ISERROR(D216/$D$214),"",D216/$D$214)</f>
        <v>0.242424242424242</v>
      </c>
      <c r="F216" s="292" t="n">
        <f aca="false">5_Produccion_Desagregada_09_10!$F$36</f>
        <v>2282</v>
      </c>
      <c r="G216" s="293" t="n">
        <f aca="false">IF(ISERROR(D216/F216),"",D216/F216)</f>
        <v>0.0455740578439965</v>
      </c>
    </row>
    <row collapsed="false" customFormat="false" customHeight="false" hidden="false" ht="14" outlineLevel="0" r="217">
      <c r="B217" s="289" t="str">
        <f aca="false">5_Produccion_Desagregada_09_10!$C$37</f>
        <v>Nefrología</v>
      </c>
      <c r="C217" s="290" t="str">
        <f aca="false">C$204</f>
        <v>Estudios</v>
      </c>
      <c r="D217" s="186" t="n">
        <v>17</v>
      </c>
      <c r="E217" s="291" t="n">
        <f aca="false">IF(ISERROR(D217/$D$214),"",D217/$D$214)</f>
        <v>0.0396270396270396</v>
      </c>
      <c r="F217" s="292" t="n">
        <f aca="false">5_Produccion_Desagregada_09_10!$F$37</f>
        <v>323</v>
      </c>
      <c r="G217" s="293" t="n">
        <f aca="false">IF(ISERROR(D217/F217),"",D217/F217)</f>
        <v>0.0526315789473684</v>
      </c>
    </row>
    <row collapsed="false" customFormat="false" customHeight="false" hidden="false" ht="14" outlineLevel="0" r="218">
      <c r="B218" s="289" t="str">
        <f aca="false">5_Produccion_Desagregada_09_10!$C$38</f>
        <v>Hematología</v>
      </c>
      <c r="C218" s="290" t="str">
        <f aca="false">C$204</f>
        <v>Estudios</v>
      </c>
      <c r="D218" s="186" t="n">
        <v>24</v>
      </c>
      <c r="E218" s="291" t="n">
        <f aca="false">IF(ISERROR(D218/$D$214),"",D218/$D$214)</f>
        <v>0.0559440559440559</v>
      </c>
      <c r="F218" s="292" t="n">
        <f aca="false">5_Produccion_Desagregada_09_10!$F$38</f>
        <v>958</v>
      </c>
      <c r="G218" s="293" t="n">
        <f aca="false">IF(ISERROR(D218/F218),"",D218/F218)</f>
        <v>0.0250521920668058</v>
      </c>
    </row>
    <row collapsed="false" customFormat="false" customHeight="false" hidden="false" ht="14" outlineLevel="0" r="219">
      <c r="B219" s="289" t="str">
        <f aca="false">5_Produccion_Desagregada_09_10!$C$39</f>
        <v>Oncología</v>
      </c>
      <c r="C219" s="290" t="str">
        <f aca="false">C$204</f>
        <v>Estudios</v>
      </c>
      <c r="D219" s="186" t="n">
        <v>30</v>
      </c>
      <c r="E219" s="291" t="n">
        <f aca="false">IF(ISERROR(D219/$D$214),"",D219/$D$214)</f>
        <v>0.0699300699300699</v>
      </c>
      <c r="F219" s="292" t="n">
        <f aca="false">5_Produccion_Desagregada_09_10!$F$39</f>
        <v>708</v>
      </c>
      <c r="G219" s="293" t="n">
        <f aca="false">IF(ISERROR(D219/F219),"",D219/F219)</f>
        <v>0.0423728813559322</v>
      </c>
    </row>
    <row collapsed="false" customFormat="false" customHeight="false" hidden="false" ht="14" outlineLevel="0" r="220">
      <c r="B220" s="289" t="str">
        <f aca="false">5_Produccion_Desagregada_09_10!$C$40</f>
        <v>Neonatología</v>
      </c>
      <c r="C220" s="290" t="str">
        <f aca="false">C$204</f>
        <v>Estudios</v>
      </c>
      <c r="D220" s="186" t="n">
        <v>72</v>
      </c>
      <c r="E220" s="291" t="n">
        <f aca="false">IF(ISERROR(D220/$D$214),"",D220/$D$214)</f>
        <v>0.167832167832168</v>
      </c>
      <c r="F220" s="292" t="n">
        <f aca="false">5_Produccion_Desagregada_09_10!$F$40</f>
        <v>711</v>
      </c>
      <c r="G220" s="293" t="n">
        <f aca="false">IF(ISERROR(D220/F220),"",D220/F220)</f>
        <v>0.10126582278481</v>
      </c>
    </row>
    <row collapsed="false" customFormat="false" customHeight="false" hidden="false" ht="14" outlineLevel="0" r="221">
      <c r="B221" s="289" t="str">
        <f aca="false">5_Produccion_Desagregada_09_10!$C$42</f>
        <v>Cirugía General</v>
      </c>
      <c r="C221" s="290" t="str">
        <f aca="false">C$204</f>
        <v>Estudios</v>
      </c>
      <c r="D221" s="186" t="n">
        <v>7</v>
      </c>
      <c r="E221" s="291" t="n">
        <f aca="false">IF(ISERROR(D221/$D$214),"",D221/$D$214)</f>
        <v>0.0163170163170163</v>
      </c>
      <c r="F221" s="292" t="n">
        <f aca="false">5_Produccion_Desagregada_09_10!$F$42</f>
        <v>2410</v>
      </c>
      <c r="G221" s="293" t="n">
        <f aca="false">IF(ISERROR(D221/F221),"",D221/F221)</f>
        <v>0.0029045643153527</v>
      </c>
    </row>
    <row collapsed="false" customFormat="false" customHeight="false" hidden="false" ht="14" outlineLevel="0" r="222">
      <c r="B222" s="289" t="str">
        <f aca="false">5_Produccion_Desagregada_09_10!$C$43</f>
        <v>Cirugía Plastica</v>
      </c>
      <c r="C222" s="290" t="str">
        <f aca="false">C$204</f>
        <v>Estudios</v>
      </c>
      <c r="D222" s="186" t="n">
        <v>7</v>
      </c>
      <c r="E222" s="291" t="n">
        <f aca="false">IF(ISERROR(D222/$D$214),"",D222/$D$214)</f>
        <v>0.0163170163170163</v>
      </c>
      <c r="F222" s="292" t="n">
        <f aca="false">5_Produccion_Desagregada_09_10!$F$43</f>
        <v>962</v>
      </c>
      <c r="G222" s="293" t="n">
        <f aca="false">IF(ISERROR(D222/F222),"",D222/F222)</f>
        <v>0.00727650727650728</v>
      </c>
    </row>
    <row collapsed="false" customFormat="false" customHeight="false" hidden="false" ht="14" outlineLevel="0" r="223">
      <c r="B223" s="289" t="str">
        <f aca="false">5_Produccion_Desagregada_09_10!$C$44</f>
        <v>Neurocirugía</v>
      </c>
      <c r="C223" s="290" t="str">
        <f aca="false">C$204</f>
        <v>Estudios</v>
      </c>
      <c r="D223" s="186" t="n">
        <v>15</v>
      </c>
      <c r="E223" s="291" t="n">
        <f aca="false">IF(ISERROR(D223/$D$214),"",D223/$D$214)</f>
        <v>0.034965034965035</v>
      </c>
      <c r="F223" s="292" t="n">
        <f aca="false">5_Produccion_Desagregada_09_10!$F$44</f>
        <v>1152</v>
      </c>
      <c r="G223" s="293" t="n">
        <f aca="false">IF(ISERROR(D223/F223),"",D223/F223)</f>
        <v>0.0130208333333333</v>
      </c>
    </row>
    <row collapsed="false" customFormat="false" customHeight="false" hidden="false" ht="14" outlineLevel="0" r="224">
      <c r="B224" s="289" t="str">
        <f aca="false">5_Produccion_Desagregada_09_10!$C$45</f>
        <v>Oftalmología</v>
      </c>
      <c r="C224" s="290" t="str">
        <f aca="false">C$204</f>
        <v>Estudios</v>
      </c>
      <c r="D224" s="186" t="n">
        <v>1</v>
      </c>
      <c r="E224" s="291" t="n">
        <f aca="false">IF(ISERROR(D224/$D$214),"",D224/$D$214)</f>
        <v>0.00233100233100233</v>
      </c>
      <c r="F224" s="292" t="n">
        <f aca="false">5_Produccion_Desagregada_09_10!$F$45</f>
        <v>905</v>
      </c>
      <c r="G224" s="293" t="n">
        <f aca="false">IF(ISERROR(D224/F224),"",D224/F224)</f>
        <v>0.00110497237569061</v>
      </c>
    </row>
    <row collapsed="false" customFormat="false" customHeight="false" hidden="false" ht="14" outlineLevel="0" r="225">
      <c r="B225" s="289" t="str">
        <f aca="false">5_Produccion_Desagregada_09_10!$C$46</f>
        <v>Otorrinolaringología</v>
      </c>
      <c r="C225" s="290" t="str">
        <f aca="false">C$204</f>
        <v>Estudios</v>
      </c>
      <c r="D225" s="186" t="n">
        <v>1</v>
      </c>
      <c r="E225" s="291" t="n">
        <f aca="false">IF(ISERROR(D225/$D$214),"",D225/$D$214)</f>
        <v>0.00233100233100233</v>
      </c>
      <c r="F225" s="292" t="n">
        <f aca="false">5_Produccion_Desagregada_09_10!$F$46</f>
        <v>1131</v>
      </c>
      <c r="G225" s="293" t="n">
        <f aca="false">IF(ISERROR(D225/F225),"",D225/F225)</f>
        <v>0.000884173297966401</v>
      </c>
    </row>
    <row collapsed="false" customFormat="false" customHeight="false" hidden="false" ht="14" outlineLevel="0" r="226">
      <c r="B226" s="289" t="str">
        <f aca="false">5_Produccion_Desagregada_09_10!$C$47</f>
        <v>Ortopedia</v>
      </c>
      <c r="C226" s="290" t="str">
        <f aca="false">C$204</f>
        <v>Estudios</v>
      </c>
      <c r="D226" s="186" t="n">
        <v>0</v>
      </c>
      <c r="E226" s="291" t="n">
        <f aca="false">IF(ISERROR(D226/$D$214),"",D226/$D$214)</f>
        <v>0</v>
      </c>
      <c r="F226" s="292" t="n">
        <f aca="false">5_Produccion_Desagregada_09_10!$F$47</f>
        <v>706</v>
      </c>
      <c r="G226" s="293" t="n">
        <f aca="false">IF(ISERROR(D226/F226),"",D226/F226)</f>
        <v>0</v>
      </c>
    </row>
    <row collapsed="false" customFormat="false" customHeight="false" hidden="false" ht="14" outlineLevel="0" r="227">
      <c r="B227" s="289" t="str">
        <f aca="false">5_Produccion_Desagregada_09_10!$C$48</f>
        <v>Otros Servicios (Convenios / BM / ISSS)</v>
      </c>
      <c r="C227" s="290" t="str">
        <f aca="false">C$204</f>
        <v>Estudios</v>
      </c>
      <c r="D227" s="186" t="n">
        <v>16</v>
      </c>
      <c r="E227" s="291" t="n">
        <f aca="false">IF(ISERROR(D227/$D$214),"",D227/$D$214)</f>
        <v>0.0372960372960373</v>
      </c>
      <c r="F227" s="292" t="n">
        <f aca="false">5_Produccion_Desagregada_09_10!$F$48</f>
        <v>1073</v>
      </c>
      <c r="G227" s="293" t="n">
        <f aca="false">IF(ISERROR(D227/F227),"",D227/F227)</f>
        <v>0.0149114631873253</v>
      </c>
    </row>
    <row collapsed="false" customFormat="false" customHeight="false" hidden="false" ht="14" outlineLevel="0" r="228">
      <c r="B228" s="298" t="str">
        <f aca="false">5_Produccion_Desagregada_09_10!$C$54</f>
        <v>Cuidados Criticos</v>
      </c>
      <c r="C228" s="299"/>
      <c r="D228" s="300" t="n">
        <f aca="false">SUM(D229:D231)</f>
        <v>109</v>
      </c>
      <c r="E228" s="299" t="inlineStr">
        <f aca="false">SUM(E229:E231)</f>
        <is>
          <t/>
        </is>
      </c>
      <c r="F228" s="300" t="n">
        <f aca="false">SUM(F229:F231)</f>
        <v>1642</v>
      </c>
      <c r="G228" s="301"/>
    </row>
    <row collapsed="false" customFormat="false" customHeight="false" hidden="false" ht="14" outlineLevel="0" r="229">
      <c r="B229" s="289" t="str">
        <f aca="false">5_Produccion_Desagregada_09_10!$C$55</f>
        <v>Unidad de Cuidados Intensivos</v>
      </c>
      <c r="C229" s="290" t="str">
        <f aca="false">C$204</f>
        <v>Estudios</v>
      </c>
      <c r="D229" s="305" t="n">
        <v>9</v>
      </c>
      <c r="E229" s="291" t="n">
        <f aca="false">IF(ISERROR(D229/$D$228),"",D229/$D$228)</f>
        <v>0.0825688073394496</v>
      </c>
      <c r="F229" s="292" t="n">
        <f aca="false">5_Produccion_Desagregada_09_10!$F$55</f>
        <v>926</v>
      </c>
      <c r="G229" s="293" t="n">
        <f aca="false">IF(ISERROR(D229/F229),"",D229/F229)</f>
        <v>0.00971922246220302</v>
      </c>
    </row>
    <row collapsed="false" customFormat="false" customHeight="false" hidden="false" ht="14" outlineLevel="0" r="230">
      <c r="B230" s="289" t="str">
        <f aca="false">5_Produccion_Desagregada_09_10!$C$56</f>
        <v>Unidad de Cuidados Intermedios</v>
      </c>
      <c r="C230" s="290" t="str">
        <f aca="false">C$204</f>
        <v>Estudios</v>
      </c>
      <c r="D230" s="305" t="n">
        <v>20</v>
      </c>
      <c r="E230" s="291" t="n">
        <f aca="false">IF(ISERROR(D230/$D$228),"",D230/$D$228)</f>
        <v>0.18348623853211</v>
      </c>
      <c r="F230" s="292" t="n">
        <f aca="false">5_Produccion_Desagregada_09_10!$F$56</f>
        <v>247</v>
      </c>
      <c r="G230" s="293" t="n">
        <f aca="false">IF(ISERROR(D230/F230),"",D230/F230)</f>
        <v>0.0809716599190283</v>
      </c>
    </row>
    <row collapsed="false" customFormat="false" customHeight="false" hidden="false" ht="14" outlineLevel="0" r="231">
      <c r="B231" s="302" t="str">
        <f aca="false">5_Produccion_Desagregada_09_10!$C$57</f>
        <v>Unidad de Cuidados Intensivos Neonatales</v>
      </c>
      <c r="C231" s="290" t="str">
        <f aca="false">C$204</f>
        <v>Estudios</v>
      </c>
      <c r="D231" s="306" t="n">
        <v>80</v>
      </c>
      <c r="E231" s="291" t="n">
        <f aca="false">IF(ISERROR(D231/$D$228),"",D231/$D$228)</f>
        <v>0.73394495412844</v>
      </c>
      <c r="F231" s="303" t="n">
        <f aca="false">5_Produccion_Desagregada_09_10!$F$57</f>
        <v>469</v>
      </c>
      <c r="G231" s="304" t="n">
        <f aca="false">IF(ISERROR(D231/F231),"",D231/F231)</f>
        <v>0.170575692963753</v>
      </c>
    </row>
    <row collapsed="false" customFormat="false" customHeight="false" hidden="false" ht="20.85" outlineLevel="0" r="232">
      <c r="A232" s="269" t="n">
        <v>3.3</v>
      </c>
      <c r="B232" s="281" t="s">
        <v>459</v>
      </c>
      <c r="C232" s="282" t="s">
        <v>453</v>
      </c>
      <c r="D232" s="282" t="str">
        <f aca="false">"Cantidad "&amp;C232&amp;" 2010"</f>
        <v>Cantidad Estudios 2010</v>
      </c>
      <c r="E232" s="282" t="str">
        <f aca="false">"Porcentaje "&amp;C232&amp;" 2010"</f>
        <v>Porcentaje Estudios 2010</v>
      </c>
      <c r="F232" s="282" t="s">
        <v>447</v>
      </c>
      <c r="G232" s="283" t="str">
        <f aca="false">C232&amp;" por Servicio Final"</f>
        <v>Estudios por Servicio Final</v>
      </c>
    </row>
    <row collapsed="false" customFormat="false" customHeight="false" hidden="false" ht="14" outlineLevel="0" r="233">
      <c r="B233" s="284" t="str">
        <f aca="false">5_Produccion_Desagregada_09_10!$C$5</f>
        <v>Servicios Ambulatorios</v>
      </c>
      <c r="C233" s="285"/>
      <c r="D233" s="286" t="n">
        <f aca="false">SUM(D234:D240)</f>
        <v>1652</v>
      </c>
      <c r="E233" s="287" t="inlineStr">
        <f aca="false">SUM(E234:E240)</f>
        <is>
          <t/>
        </is>
      </c>
      <c r="F233" s="286" t="n">
        <f aca="false">SUM(F235:F240)</f>
        <v>248597</v>
      </c>
      <c r="G233" s="288"/>
    </row>
    <row collapsed="false" customFormat="false" customHeight="false" hidden="false" ht="14" outlineLevel="0" r="234">
      <c r="B234" s="289" t="str">
        <f aca="false">5_Produccion_Desagregada_09_10!$C$7</f>
        <v>Consulta General </v>
      </c>
      <c r="C234" s="290" t="str">
        <f aca="false">C$232</f>
        <v>Estudios</v>
      </c>
      <c r="D234" s="305" t="n">
        <v>0</v>
      </c>
      <c r="E234" s="291" t="n">
        <f aca="false">IF(ISERROR(D234/$D$233),"",D234/$D$233)</f>
        <v>0</v>
      </c>
      <c r="F234" s="292" t="n">
        <f aca="false">5_Produccion_Desagregada_09_10!$F$7</f>
        <v>0</v>
      </c>
      <c r="G234" s="293" t="str">
        <f aca="false">IF(ISERROR(D234/F234),"",D234/F234)</f>
        <v/>
      </c>
    </row>
    <row collapsed="false" customFormat="false" customHeight="false" hidden="false" ht="14" outlineLevel="0" r="235">
      <c r="B235" s="289" t="str">
        <f aca="false">5_Produccion_Desagregada_09_10!$C$9</f>
        <v>Consultas de Especializadades Básicas</v>
      </c>
      <c r="C235" s="290" t="str">
        <f aca="false">C$232</f>
        <v>Estudios</v>
      </c>
      <c r="D235" s="305" t="n">
        <v>0</v>
      </c>
      <c r="E235" s="291" t="n">
        <f aca="false">IF(ISERROR(D235/$D$233),"",D235/$D$233)</f>
        <v>0</v>
      </c>
      <c r="F235" s="292" t="n">
        <f aca="false">5_Produccion_Desagregada_09_10!$F$9</f>
        <v>0</v>
      </c>
      <c r="G235" s="293" t="str">
        <f aca="false">IF(ISERROR(D235/F235),"",D235/F235)</f>
        <v/>
      </c>
    </row>
    <row collapsed="false" customFormat="false" customHeight="false" hidden="false" ht="14" outlineLevel="0" r="236">
      <c r="B236" s="289" t="str">
        <f aca="false">5_Produccion_Desagregada_09_10!$C$12</f>
        <v>Consultas de Sub Especializadades</v>
      </c>
      <c r="C236" s="290" t="str">
        <f aca="false">C$232</f>
        <v>Estudios</v>
      </c>
      <c r="D236" s="305" t="n">
        <v>1652</v>
      </c>
      <c r="E236" s="291" t="n">
        <f aca="false">IF(ISERROR(D236/$D$233),"",D236/$D$233)</f>
        <v>1</v>
      </c>
      <c r="F236" s="292" t="n">
        <f aca="false">5_Produccion_Desagregada_09_10!$F$12</f>
        <v>207721</v>
      </c>
      <c r="G236" s="293" t="n">
        <f aca="false">IF(ISERROR(D236/F236),"",D236/F236)</f>
        <v>0.00795297538525233</v>
      </c>
    </row>
    <row collapsed="false" customFormat="false" customHeight="false" hidden="false" ht="14" outlineLevel="0" r="237">
      <c r="B237" s="289" t="str">
        <f aca="false">5_Produccion_Desagregada_09_10!$C$17</f>
        <v>Consultas de Emergencia de Medicina Interna Pediatrica</v>
      </c>
      <c r="C237" s="290" t="str">
        <f aca="false">C$232</f>
        <v>Estudios</v>
      </c>
      <c r="D237" s="305" t="n">
        <v>0</v>
      </c>
      <c r="E237" s="291" t="n">
        <f aca="false">IF(ISERROR(D237/$D$233),"",D237/$D$233)</f>
        <v>0</v>
      </c>
      <c r="F237" s="292" t="n">
        <f aca="false">5_Produccion_Desagregada_09_10!$F$17</f>
        <v>9804</v>
      </c>
      <c r="G237" s="293" t="n">
        <f aca="false">IF(ISERROR(D237/F237),"",D237/F237)</f>
        <v>0</v>
      </c>
    </row>
    <row collapsed="false" customFormat="false" customHeight="false" hidden="false" ht="14" outlineLevel="0" r="238">
      <c r="B238" s="289" t="str">
        <f aca="false">5_Produccion_Desagregada_09_10!$C$18</f>
        <v>Consultas de Emergencia de Cirugia General Pediatrica</v>
      </c>
      <c r="C238" s="290" t="str">
        <f aca="false">C$232</f>
        <v>Estudios</v>
      </c>
      <c r="D238" s="305" t="n">
        <v>0</v>
      </c>
      <c r="E238" s="291" t="n">
        <f aca="false">IF(ISERROR(D238/$D$233),"",D238/$D$233)</f>
        <v>0</v>
      </c>
      <c r="F238" s="292" t="n">
        <f aca="false">5_Produccion_Desagregada_09_10!$F$18</f>
        <v>13464</v>
      </c>
      <c r="G238" s="293" t="n">
        <f aca="false">IF(ISERROR(D238/F238),"",D238/F238)</f>
        <v>0</v>
      </c>
    </row>
    <row collapsed="false" customFormat="false" customHeight="false" hidden="false" ht="14" outlineLevel="0" r="239">
      <c r="B239" s="289" t="str">
        <f aca="false">5_Produccion_Desagregada_09_10!$C$20</f>
        <v>Consulta de Odontologia General</v>
      </c>
      <c r="C239" s="290" t="str">
        <f aca="false">C$232</f>
        <v>Estudios</v>
      </c>
      <c r="D239" s="305" t="n">
        <v>0</v>
      </c>
      <c r="E239" s="291" t="n">
        <f aca="false">IF(ISERROR(D239/$D$233),"",D239/$D$233)</f>
        <v>0</v>
      </c>
      <c r="F239" s="292" t="n">
        <f aca="false">5_Produccion_Desagregada_09_10!$F$20</f>
        <v>16487</v>
      </c>
      <c r="G239" s="293" t="n">
        <f aca="false">IF(ISERROR(D239/F239),"",D239/F239)</f>
        <v>0</v>
      </c>
    </row>
    <row collapsed="false" customFormat="false" customHeight="false" hidden="false" ht="14" outlineLevel="0" r="240">
      <c r="B240" s="289" t="str">
        <f aca="false">5_Produccion_Desagregada_09_10!$C$21</f>
        <v>Consulta de Ortodoncia</v>
      </c>
      <c r="C240" s="290" t="str">
        <f aca="false">C$232</f>
        <v>Estudios</v>
      </c>
      <c r="D240" s="305" t="n">
        <v>0</v>
      </c>
      <c r="E240" s="291" t="n">
        <f aca="false">IF(ISERROR(D240/$D$233),"",D240/$D$233)</f>
        <v>0</v>
      </c>
      <c r="F240" s="292" t="n">
        <f aca="false">5_Produccion_Desagregada_09_10!$F$21</f>
        <v>1121</v>
      </c>
      <c r="G240" s="293" t="n">
        <f aca="false">IF(ISERROR(D240/F240),"",D240/F240)</f>
        <v>0</v>
      </c>
    </row>
    <row collapsed="false" customFormat="false" customHeight="false" hidden="false" ht="14" outlineLevel="0" r="241">
      <c r="B241" s="294" t="str">
        <f aca="false">5_Produccion_Desagregada_09_10!$C$32</f>
        <v>Servicios Hospitalarios </v>
      </c>
      <c r="C241" s="295"/>
      <c r="D241" s="296" t="n">
        <f aca="false">SUM(D242,D256)</f>
        <v>0</v>
      </c>
      <c r="E241" s="295"/>
      <c r="F241" s="296" t="n">
        <f aca="false">SUM(F242,F256)</f>
        <v>16069</v>
      </c>
      <c r="G241" s="297"/>
    </row>
    <row collapsed="false" customFormat="false" customHeight="false" hidden="false" ht="14" outlineLevel="0" r="242">
      <c r="B242" s="298" t="str">
        <f aca="false">5_Produccion_Desagregada_09_10!$C$33</f>
        <v>Egresos</v>
      </c>
      <c r="C242" s="299"/>
      <c r="D242" s="300" t="n">
        <f aca="false">SUM(D243:D255)</f>
        <v>0</v>
      </c>
      <c r="E242" s="299" t="n">
        <f aca="false">SUM(E243:E255)</f>
        <v>0</v>
      </c>
      <c r="F242" s="300" t="n">
        <f aca="false">SUM(F243:F255)</f>
        <v>14427</v>
      </c>
      <c r="G242" s="301"/>
    </row>
    <row collapsed="false" customFormat="false" customHeight="false" hidden="false" ht="14" outlineLevel="0" r="243">
      <c r="B243" s="289" t="str">
        <f aca="false">5_Produccion_Desagregada_09_10!$C$35</f>
        <v>Medicina Interna </v>
      </c>
      <c r="C243" s="290" t="str">
        <f aca="false">C$232</f>
        <v>Estudios</v>
      </c>
      <c r="D243" s="186" t="n">
        <v>0</v>
      </c>
      <c r="E243" s="291" t="str">
        <f aca="false">IF(ISERROR(D243/$D$242),"",D243/$D$242)</f>
        <v/>
      </c>
      <c r="F243" s="292" t="n">
        <f aca="false">5_Produccion_Desagregada_09_10!$F$35</f>
        <v>1106</v>
      </c>
      <c r="G243" s="293" t="n">
        <f aca="false">IF(ISERROR(D243/F243),"",D243/F243)</f>
        <v>0</v>
      </c>
    </row>
    <row collapsed="false" customFormat="false" customHeight="false" hidden="false" ht="14" outlineLevel="0" r="244">
      <c r="B244" s="289" t="str">
        <f aca="false">5_Produccion_Desagregada_09_10!$C$36</f>
        <v>Infectología</v>
      </c>
      <c r="C244" s="290" t="str">
        <f aca="false">C$232</f>
        <v>Estudios</v>
      </c>
      <c r="D244" s="186" t="n">
        <v>0</v>
      </c>
      <c r="E244" s="291" t="str">
        <f aca="false">IF(ISERROR(D244/$D$242),"",D244/$D$242)</f>
        <v/>
      </c>
      <c r="F244" s="292" t="n">
        <f aca="false">5_Produccion_Desagregada_09_10!$F$36</f>
        <v>2282</v>
      </c>
      <c r="G244" s="293" t="n">
        <f aca="false">IF(ISERROR(D244/F244),"",D244/F244)</f>
        <v>0</v>
      </c>
    </row>
    <row collapsed="false" customFormat="false" customHeight="false" hidden="false" ht="14" outlineLevel="0" r="245">
      <c r="B245" s="289" t="str">
        <f aca="false">5_Produccion_Desagregada_09_10!$C$37</f>
        <v>Nefrología</v>
      </c>
      <c r="C245" s="290" t="str">
        <f aca="false">C$232</f>
        <v>Estudios</v>
      </c>
      <c r="D245" s="186" t="n">
        <v>0</v>
      </c>
      <c r="E245" s="291" t="str">
        <f aca="false">IF(ISERROR(D245/$D$242),"",D245/$D$242)</f>
        <v/>
      </c>
      <c r="F245" s="292" t="n">
        <f aca="false">5_Produccion_Desagregada_09_10!$F$37</f>
        <v>323</v>
      </c>
      <c r="G245" s="293" t="n">
        <f aca="false">IF(ISERROR(D245/F245),"",D245/F245)</f>
        <v>0</v>
      </c>
    </row>
    <row collapsed="false" customFormat="false" customHeight="false" hidden="false" ht="14" outlineLevel="0" r="246">
      <c r="B246" s="289" t="str">
        <f aca="false">5_Produccion_Desagregada_09_10!$C$38</f>
        <v>Hematología</v>
      </c>
      <c r="C246" s="290" t="str">
        <f aca="false">C$232</f>
        <v>Estudios</v>
      </c>
      <c r="D246" s="186" t="n">
        <v>0</v>
      </c>
      <c r="E246" s="291" t="str">
        <f aca="false">IF(ISERROR(D246/$D$242),"",D246/$D$242)</f>
        <v/>
      </c>
      <c r="F246" s="292" t="n">
        <f aca="false">5_Produccion_Desagregada_09_10!$F$38</f>
        <v>958</v>
      </c>
      <c r="G246" s="293" t="n">
        <f aca="false">IF(ISERROR(D246/F246),"",D246/F246)</f>
        <v>0</v>
      </c>
    </row>
    <row collapsed="false" customFormat="false" customHeight="false" hidden="false" ht="14" outlineLevel="0" r="247">
      <c r="B247" s="289" t="str">
        <f aca="false">5_Produccion_Desagregada_09_10!$C$39</f>
        <v>Oncología</v>
      </c>
      <c r="C247" s="290" t="str">
        <f aca="false">C$232</f>
        <v>Estudios</v>
      </c>
      <c r="D247" s="186" t="n">
        <v>0</v>
      </c>
      <c r="E247" s="291" t="str">
        <f aca="false">IF(ISERROR(D247/$D$242),"",D247/$D$242)</f>
        <v/>
      </c>
      <c r="F247" s="292" t="n">
        <f aca="false">5_Produccion_Desagregada_09_10!$F$39</f>
        <v>708</v>
      </c>
      <c r="G247" s="293" t="n">
        <f aca="false">IF(ISERROR(D247/F247),"",D247/F247)</f>
        <v>0</v>
      </c>
    </row>
    <row collapsed="false" customFormat="false" customHeight="false" hidden="false" ht="14" outlineLevel="0" r="248">
      <c r="B248" s="289" t="str">
        <f aca="false">5_Produccion_Desagregada_09_10!$C$40</f>
        <v>Neonatología</v>
      </c>
      <c r="C248" s="290" t="str">
        <f aca="false">C$232</f>
        <v>Estudios</v>
      </c>
      <c r="D248" s="186" t="n">
        <v>0</v>
      </c>
      <c r="E248" s="291" t="str">
        <f aca="false">IF(ISERROR(D248/$D$242),"",D248/$D$242)</f>
        <v/>
      </c>
      <c r="F248" s="292" t="n">
        <f aca="false">5_Produccion_Desagregada_09_10!$F$40</f>
        <v>711</v>
      </c>
      <c r="G248" s="293" t="n">
        <f aca="false">IF(ISERROR(D248/F248),"",D248/F248)</f>
        <v>0</v>
      </c>
    </row>
    <row collapsed="false" customFormat="false" customHeight="false" hidden="false" ht="14" outlineLevel="0" r="249">
      <c r="B249" s="289" t="str">
        <f aca="false">5_Produccion_Desagregada_09_10!$C$42</f>
        <v>Cirugía General</v>
      </c>
      <c r="C249" s="290" t="str">
        <f aca="false">C$232</f>
        <v>Estudios</v>
      </c>
      <c r="D249" s="186" t="n">
        <v>0</v>
      </c>
      <c r="E249" s="291" t="str">
        <f aca="false">IF(ISERROR(D249/$D$242),"",D249/$D$242)</f>
        <v/>
      </c>
      <c r="F249" s="292" t="n">
        <f aca="false">5_Produccion_Desagregada_09_10!$F$42</f>
        <v>2410</v>
      </c>
      <c r="G249" s="293" t="n">
        <f aca="false">IF(ISERROR(D249/F249),"",D249/F249)</f>
        <v>0</v>
      </c>
    </row>
    <row collapsed="false" customFormat="false" customHeight="false" hidden="false" ht="14" outlineLevel="0" r="250">
      <c r="B250" s="289" t="str">
        <f aca="false">5_Produccion_Desagregada_09_10!$C$43</f>
        <v>Cirugía Plastica</v>
      </c>
      <c r="C250" s="290" t="str">
        <f aca="false">C$232</f>
        <v>Estudios</v>
      </c>
      <c r="D250" s="186" t="n">
        <v>0</v>
      </c>
      <c r="E250" s="291" t="str">
        <f aca="false">IF(ISERROR(D250/$D$242),"",D250/$D$242)</f>
        <v/>
      </c>
      <c r="F250" s="292" t="n">
        <f aca="false">5_Produccion_Desagregada_09_10!$F$43</f>
        <v>962</v>
      </c>
      <c r="G250" s="293" t="n">
        <f aca="false">IF(ISERROR(D250/F250),"",D250/F250)</f>
        <v>0</v>
      </c>
    </row>
    <row collapsed="false" customFormat="false" customHeight="false" hidden="false" ht="14" outlineLevel="0" r="251">
      <c r="B251" s="289" t="str">
        <f aca="false">5_Produccion_Desagregada_09_10!$C$44</f>
        <v>Neurocirugía</v>
      </c>
      <c r="C251" s="290" t="str">
        <f aca="false">C$232</f>
        <v>Estudios</v>
      </c>
      <c r="D251" s="186" t="n">
        <v>0</v>
      </c>
      <c r="E251" s="291" t="str">
        <f aca="false">IF(ISERROR(D251/$D$242),"",D251/$D$242)</f>
        <v/>
      </c>
      <c r="F251" s="292" t="n">
        <f aca="false">5_Produccion_Desagregada_09_10!$F$44</f>
        <v>1152</v>
      </c>
      <c r="G251" s="293" t="n">
        <f aca="false">IF(ISERROR(D251/F251),"",D251/F251)</f>
        <v>0</v>
      </c>
    </row>
    <row collapsed="false" customFormat="false" customHeight="false" hidden="false" ht="14" outlineLevel="0" r="252">
      <c r="B252" s="289" t="str">
        <f aca="false">5_Produccion_Desagregada_09_10!$C$45</f>
        <v>Oftalmología</v>
      </c>
      <c r="C252" s="290" t="str">
        <f aca="false">C$232</f>
        <v>Estudios</v>
      </c>
      <c r="D252" s="186" t="n">
        <v>0</v>
      </c>
      <c r="E252" s="291" t="str">
        <f aca="false">IF(ISERROR(D252/$D$242),"",D252/$D$242)</f>
        <v/>
      </c>
      <c r="F252" s="292" t="n">
        <f aca="false">5_Produccion_Desagregada_09_10!$F$45</f>
        <v>905</v>
      </c>
      <c r="G252" s="293" t="n">
        <f aca="false">IF(ISERROR(D252/F252),"",D252/F252)</f>
        <v>0</v>
      </c>
    </row>
    <row collapsed="false" customFormat="false" customHeight="false" hidden="false" ht="14" outlineLevel="0" r="253">
      <c r="B253" s="289" t="str">
        <f aca="false">5_Produccion_Desagregada_09_10!$C$46</f>
        <v>Otorrinolaringología</v>
      </c>
      <c r="C253" s="290" t="str">
        <f aca="false">C$232</f>
        <v>Estudios</v>
      </c>
      <c r="D253" s="186" t="n">
        <v>0</v>
      </c>
      <c r="E253" s="291" t="str">
        <f aca="false">IF(ISERROR(D253/$D$242),"",D253/$D$242)</f>
        <v/>
      </c>
      <c r="F253" s="292" t="n">
        <f aca="false">5_Produccion_Desagregada_09_10!$F$46</f>
        <v>1131</v>
      </c>
      <c r="G253" s="293" t="n">
        <f aca="false">IF(ISERROR(D253/F253),"",D253/F253)</f>
        <v>0</v>
      </c>
    </row>
    <row collapsed="false" customFormat="false" customHeight="false" hidden="false" ht="14" outlineLevel="0" r="254">
      <c r="B254" s="289" t="str">
        <f aca="false">5_Produccion_Desagregada_09_10!$C$47</f>
        <v>Ortopedia</v>
      </c>
      <c r="C254" s="290" t="str">
        <f aca="false">C$232</f>
        <v>Estudios</v>
      </c>
      <c r="D254" s="186" t="n">
        <v>0</v>
      </c>
      <c r="E254" s="291" t="str">
        <f aca="false">IF(ISERROR(D254/$D$242),"",D254/$D$242)</f>
        <v/>
      </c>
      <c r="F254" s="292" t="n">
        <f aca="false">5_Produccion_Desagregada_09_10!$F$47</f>
        <v>706</v>
      </c>
      <c r="G254" s="293" t="n">
        <f aca="false">IF(ISERROR(D254/F254),"",D254/F254)</f>
        <v>0</v>
      </c>
    </row>
    <row collapsed="false" customFormat="false" customHeight="false" hidden="false" ht="14" outlineLevel="0" r="255">
      <c r="B255" s="289" t="str">
        <f aca="false">5_Produccion_Desagregada_09_10!$C$48</f>
        <v>Otros Servicios (Convenios / BM / ISSS)</v>
      </c>
      <c r="C255" s="290" t="str">
        <f aca="false">C$232</f>
        <v>Estudios</v>
      </c>
      <c r="D255" s="186" t="n">
        <v>0</v>
      </c>
      <c r="E255" s="291" t="str">
        <f aca="false">IF(ISERROR(D255/$D$242),"",D255/$D$242)</f>
        <v/>
      </c>
      <c r="F255" s="292" t="n">
        <f aca="false">5_Produccion_Desagregada_09_10!$F$48</f>
        <v>1073</v>
      </c>
      <c r="G255" s="293" t="n">
        <f aca="false">IF(ISERROR(D255/F255),"",D255/F255)</f>
        <v>0</v>
      </c>
    </row>
    <row collapsed="false" customFormat="false" customHeight="false" hidden="false" ht="14" outlineLevel="0" r="256">
      <c r="B256" s="298" t="str">
        <f aca="false">5_Produccion_Desagregada_09_10!$C$54</f>
        <v>Cuidados Criticos</v>
      </c>
      <c r="C256" s="299"/>
      <c r="D256" s="300" t="n">
        <f aca="false">SUM(D257:D259)</f>
        <v>0</v>
      </c>
      <c r="E256" s="299" t="n">
        <f aca="false">SUM(E257:E259)</f>
        <v>0</v>
      </c>
      <c r="F256" s="300" t="n">
        <f aca="false">SUM(F257:F259)</f>
        <v>1642</v>
      </c>
      <c r="G256" s="301"/>
    </row>
    <row collapsed="false" customFormat="false" customHeight="false" hidden="false" ht="14" outlineLevel="0" r="257">
      <c r="B257" s="289" t="str">
        <f aca="false">5_Produccion_Desagregada_09_10!$C$55</f>
        <v>Unidad de Cuidados Intensivos</v>
      </c>
      <c r="C257" s="290" t="str">
        <f aca="false">C$232</f>
        <v>Estudios</v>
      </c>
      <c r="D257" s="305" t="n">
        <v>0</v>
      </c>
      <c r="E257" s="291" t="str">
        <f aca="false">IF(ISERROR(D257/$D$256),"",D257/$D$256)</f>
        <v/>
      </c>
      <c r="F257" s="292" t="n">
        <f aca="false">5_Produccion_Desagregada_09_10!$F$55</f>
        <v>926</v>
      </c>
      <c r="G257" s="293" t="n">
        <f aca="false">IF(ISERROR(D257/F257),"",D257/F257)</f>
        <v>0</v>
      </c>
    </row>
    <row collapsed="false" customFormat="false" customHeight="false" hidden="false" ht="14" outlineLevel="0" r="258">
      <c r="B258" s="289" t="str">
        <f aca="false">5_Produccion_Desagregada_09_10!$C$56</f>
        <v>Unidad de Cuidados Intermedios</v>
      </c>
      <c r="C258" s="290" t="str">
        <f aca="false">C$232</f>
        <v>Estudios</v>
      </c>
      <c r="D258" s="305" t="n">
        <v>0</v>
      </c>
      <c r="E258" s="291" t="str">
        <f aca="false">IF(ISERROR(D258/$D$256),"",D258/$D$256)</f>
        <v/>
      </c>
      <c r="F258" s="292" t="n">
        <f aca="false">5_Produccion_Desagregada_09_10!$F$56</f>
        <v>247</v>
      </c>
      <c r="G258" s="293" t="n">
        <f aca="false">IF(ISERROR(D258/F258),"",D258/F258)</f>
        <v>0</v>
      </c>
    </row>
    <row collapsed="false" customFormat="false" customHeight="false" hidden="false" ht="14" outlineLevel="0" r="259">
      <c r="B259" s="302" t="str">
        <f aca="false">5_Produccion_Desagregada_09_10!$C$57</f>
        <v>Unidad de Cuidados Intensivos Neonatales</v>
      </c>
      <c r="C259" s="290" t="str">
        <f aca="false">C$232</f>
        <v>Estudios</v>
      </c>
      <c r="D259" s="306" t="n">
        <v>0</v>
      </c>
      <c r="E259" s="291" t="str">
        <f aca="false">IF(ISERROR(D259/$D$256),"",D259/$D$256)</f>
        <v/>
      </c>
      <c r="F259" s="303" t="n">
        <f aca="false">5_Produccion_Desagregada_09_10!$F$57</f>
        <v>469</v>
      </c>
      <c r="G259" s="304" t="n">
        <f aca="false">IF(ISERROR(D259/F259),"",D259/F259)</f>
        <v>0</v>
      </c>
    </row>
    <row collapsed="false" customFormat="false" customHeight="false" hidden="false" ht="20.85" outlineLevel="0" r="260">
      <c r="A260" s="269" t="n">
        <v>3.4</v>
      </c>
      <c r="B260" s="281" t="s">
        <v>460</v>
      </c>
      <c r="C260" s="282" t="s">
        <v>453</v>
      </c>
      <c r="D260" s="282" t="str">
        <f aca="false">"Cantidad "&amp;C260&amp;" 2010"</f>
        <v>Cantidad Estudios 2010</v>
      </c>
      <c r="E260" s="282" t="str">
        <f aca="false">"Porcentaje "&amp;C260&amp;" 2010"</f>
        <v>Porcentaje Estudios 2010</v>
      </c>
      <c r="F260" s="282" t="s">
        <v>447</v>
      </c>
      <c r="G260" s="283" t="str">
        <f aca="false">C260&amp;" por Servicio Final"</f>
        <v>Estudios por Servicio Final</v>
      </c>
    </row>
    <row collapsed="false" customFormat="false" customHeight="false" hidden="false" ht="14" outlineLevel="0" r="261">
      <c r="B261" s="284" t="str">
        <f aca="false">5_Produccion_Desagregada_09_10!$C$5</f>
        <v>Servicios Ambulatorios</v>
      </c>
      <c r="C261" s="285"/>
      <c r="D261" s="286" t="n">
        <f aca="false">SUM(D262:D268)</f>
        <v>3949</v>
      </c>
      <c r="E261" s="287" t="inlineStr">
        <f aca="false">SUM(E262:E268)</f>
        <is>
          <t/>
        </is>
      </c>
      <c r="F261" s="286" t="n">
        <f aca="false">SUM(F263:F268)</f>
        <v>248597</v>
      </c>
      <c r="G261" s="288"/>
    </row>
    <row collapsed="false" customFormat="false" customHeight="false" hidden="false" ht="14" outlineLevel="0" r="262">
      <c r="B262" s="289" t="str">
        <f aca="false">5_Produccion_Desagregada_09_10!$C$7</f>
        <v>Consulta General </v>
      </c>
      <c r="C262" s="290" t="str">
        <f aca="false">C$260</f>
        <v>Estudios</v>
      </c>
      <c r="D262" s="305" t="n">
        <v>0</v>
      </c>
      <c r="E262" s="291" t="n">
        <f aca="false">IF(ISERROR(D262/$D$261),"",D262/$D$261)</f>
        <v>0</v>
      </c>
      <c r="F262" s="292" t="n">
        <f aca="false">5_Produccion_Desagregada_09_10!$F$7</f>
        <v>0</v>
      </c>
      <c r="G262" s="293" t="str">
        <f aca="false">IF(ISERROR(D262/F262),"",D262/F262)</f>
        <v/>
      </c>
    </row>
    <row collapsed="false" customFormat="false" customHeight="false" hidden="false" ht="14" outlineLevel="0" r="263">
      <c r="B263" s="289" t="str">
        <f aca="false">5_Produccion_Desagregada_09_10!$C$9</f>
        <v>Consultas de Especializadades Básicas</v>
      </c>
      <c r="C263" s="290" t="str">
        <f aca="false">C$260</f>
        <v>Estudios</v>
      </c>
      <c r="D263" s="305" t="n">
        <v>0</v>
      </c>
      <c r="E263" s="291" t="n">
        <f aca="false">IF(ISERROR(D263/$D$261),"",D263/$D$261)</f>
        <v>0</v>
      </c>
      <c r="F263" s="292" t="n">
        <f aca="false">5_Produccion_Desagregada_09_10!$F$9</f>
        <v>0</v>
      </c>
      <c r="G263" s="293" t="str">
        <f aca="false">IF(ISERROR(D263/F263),"",D263/F263)</f>
        <v/>
      </c>
    </row>
    <row collapsed="false" customFormat="false" customHeight="false" hidden="false" ht="14" outlineLevel="0" r="264">
      <c r="B264" s="289" t="str">
        <f aca="false">5_Produccion_Desagregada_09_10!$C$12</f>
        <v>Consultas de Sub Especializadades</v>
      </c>
      <c r="C264" s="290" t="str">
        <f aca="false">C$260</f>
        <v>Estudios</v>
      </c>
      <c r="D264" s="305" t="n">
        <v>3949</v>
      </c>
      <c r="E264" s="291" t="n">
        <f aca="false">IF(ISERROR(D264/$D$261),"",D264/$D$261)</f>
        <v>1</v>
      </c>
      <c r="F264" s="292" t="n">
        <f aca="false">5_Produccion_Desagregada_09_10!$F$12</f>
        <v>207721</v>
      </c>
      <c r="G264" s="293" t="n">
        <f aca="false">IF(ISERROR(D264/F264),"",D264/F264)</f>
        <v>0.0190110773585723</v>
      </c>
    </row>
    <row collapsed="false" customFormat="false" customHeight="false" hidden="false" ht="14" outlineLevel="0" r="265">
      <c r="B265" s="289" t="str">
        <f aca="false">5_Produccion_Desagregada_09_10!$C$17</f>
        <v>Consultas de Emergencia de Medicina Interna Pediatrica</v>
      </c>
      <c r="C265" s="290" t="str">
        <f aca="false">C$260</f>
        <v>Estudios</v>
      </c>
      <c r="D265" s="305" t="n">
        <v>0</v>
      </c>
      <c r="E265" s="291" t="n">
        <f aca="false">IF(ISERROR(D265/$D$261),"",D265/$D$261)</f>
        <v>0</v>
      </c>
      <c r="F265" s="292" t="n">
        <f aca="false">5_Produccion_Desagregada_09_10!$F$17</f>
        <v>9804</v>
      </c>
      <c r="G265" s="293" t="n">
        <f aca="false">IF(ISERROR(D265/F265),"",D265/F265)</f>
        <v>0</v>
      </c>
    </row>
    <row collapsed="false" customFormat="false" customHeight="false" hidden="false" ht="14" outlineLevel="0" r="266">
      <c r="B266" s="289" t="str">
        <f aca="false">5_Produccion_Desagregada_09_10!$C$18</f>
        <v>Consultas de Emergencia de Cirugia General Pediatrica</v>
      </c>
      <c r="C266" s="290" t="str">
        <f aca="false">C$260</f>
        <v>Estudios</v>
      </c>
      <c r="D266" s="305" t="n">
        <v>0</v>
      </c>
      <c r="E266" s="291" t="n">
        <f aca="false">IF(ISERROR(D266/$D$261),"",D266/$D$261)</f>
        <v>0</v>
      </c>
      <c r="F266" s="292" t="n">
        <f aca="false">5_Produccion_Desagregada_09_10!$F$18</f>
        <v>13464</v>
      </c>
      <c r="G266" s="293" t="n">
        <f aca="false">IF(ISERROR(D266/F266),"",D266/F266)</f>
        <v>0</v>
      </c>
    </row>
    <row collapsed="false" customFormat="false" customHeight="false" hidden="false" ht="14" outlineLevel="0" r="267">
      <c r="B267" s="289" t="str">
        <f aca="false">5_Produccion_Desagregada_09_10!$C$20</f>
        <v>Consulta de Odontologia General</v>
      </c>
      <c r="C267" s="290" t="str">
        <f aca="false">C$260</f>
        <v>Estudios</v>
      </c>
      <c r="D267" s="305" t="n">
        <v>0</v>
      </c>
      <c r="E267" s="291" t="n">
        <f aca="false">IF(ISERROR(D267/$D$261),"",D267/$D$261)</f>
        <v>0</v>
      </c>
      <c r="F267" s="292" t="n">
        <f aca="false">5_Produccion_Desagregada_09_10!$F$20</f>
        <v>16487</v>
      </c>
      <c r="G267" s="293" t="n">
        <f aca="false">IF(ISERROR(D267/F267),"",D267/F267)</f>
        <v>0</v>
      </c>
    </row>
    <row collapsed="false" customFormat="false" customHeight="false" hidden="false" ht="14" outlineLevel="0" r="268">
      <c r="B268" s="289" t="str">
        <f aca="false">5_Produccion_Desagregada_09_10!$C$21</f>
        <v>Consulta de Ortodoncia</v>
      </c>
      <c r="C268" s="290" t="str">
        <f aca="false">C$260</f>
        <v>Estudios</v>
      </c>
      <c r="D268" s="305" t="n">
        <v>0</v>
      </c>
      <c r="E268" s="291" t="n">
        <f aca="false">IF(ISERROR(D268/$D$261),"",D268/$D$261)</f>
        <v>0</v>
      </c>
      <c r="F268" s="292" t="n">
        <f aca="false">5_Produccion_Desagregada_09_10!$F$21</f>
        <v>1121</v>
      </c>
      <c r="G268" s="293" t="n">
        <f aca="false">IF(ISERROR(D268/F268),"",D268/F268)</f>
        <v>0</v>
      </c>
    </row>
    <row collapsed="false" customFormat="false" customHeight="false" hidden="false" ht="14" outlineLevel="0" r="269">
      <c r="B269" s="294" t="str">
        <f aca="false">5_Produccion_Desagregada_09_10!$C$32</f>
        <v>Servicios Hospitalarios </v>
      </c>
      <c r="C269" s="295"/>
      <c r="D269" s="296" t="n">
        <f aca="false">SUM(D270,D284)</f>
        <v>412</v>
      </c>
      <c r="E269" s="295"/>
      <c r="F269" s="296" t="n">
        <f aca="false">SUM(F270,F284)</f>
        <v>16069</v>
      </c>
      <c r="G269" s="297"/>
    </row>
    <row collapsed="false" customFormat="false" customHeight="false" hidden="false" ht="14" outlineLevel="0" r="270">
      <c r="B270" s="298" t="str">
        <f aca="false">5_Produccion_Desagregada_09_10!$C$33</f>
        <v>Egresos</v>
      </c>
      <c r="C270" s="299"/>
      <c r="D270" s="300" t="n">
        <f aca="false">SUM(D271:D283)</f>
        <v>412</v>
      </c>
      <c r="E270" s="299" t="inlineStr">
        <f aca="false">SUM(E271:E283)</f>
        <is>
          <t/>
        </is>
      </c>
      <c r="F270" s="300" t="n">
        <f aca="false">SUM(F271:F283)</f>
        <v>14427</v>
      </c>
      <c r="G270" s="301"/>
    </row>
    <row collapsed="false" customFormat="false" customHeight="false" hidden="false" ht="14" outlineLevel="0" r="271">
      <c r="B271" s="289" t="str">
        <f aca="false">5_Produccion_Desagregada_09_10!$C$35</f>
        <v>Medicina Interna </v>
      </c>
      <c r="C271" s="290" t="str">
        <f aca="false">C$260</f>
        <v>Estudios</v>
      </c>
      <c r="D271" s="186" t="n">
        <v>0</v>
      </c>
      <c r="E271" s="291" t="n">
        <f aca="false">IF(ISERROR(D271/$D$270),"",D271/$D$270)</f>
        <v>0</v>
      </c>
      <c r="F271" s="292" t="n">
        <f aca="false">5_Produccion_Desagregada_09_10!$F$35</f>
        <v>1106</v>
      </c>
      <c r="G271" s="293" t="n">
        <f aca="false">IF(ISERROR(D271/F271),"",D271/F271)</f>
        <v>0</v>
      </c>
    </row>
    <row collapsed="false" customFormat="false" customHeight="false" hidden="false" ht="14" outlineLevel="0" r="272">
      <c r="B272" s="289" t="str">
        <f aca="false">5_Produccion_Desagregada_09_10!$C$36</f>
        <v>Infectología</v>
      </c>
      <c r="C272" s="290" t="str">
        <f aca="false">C$260</f>
        <v>Estudios</v>
      </c>
      <c r="D272" s="186" t="n">
        <v>0</v>
      </c>
      <c r="E272" s="291" t="n">
        <f aca="false">IF(ISERROR(D272/$D$270),"",D272/$D$270)</f>
        <v>0</v>
      </c>
      <c r="F272" s="292" t="n">
        <f aca="false">5_Produccion_Desagregada_09_10!$F$36</f>
        <v>2282</v>
      </c>
      <c r="G272" s="293" t="n">
        <f aca="false">IF(ISERROR(D272/F272),"",D272/F272)</f>
        <v>0</v>
      </c>
    </row>
    <row collapsed="false" customFormat="false" customHeight="false" hidden="false" ht="14" outlineLevel="0" r="273">
      <c r="B273" s="289" t="str">
        <f aca="false">5_Produccion_Desagregada_09_10!$C$37</f>
        <v>Nefrología</v>
      </c>
      <c r="C273" s="290" t="str">
        <f aca="false">C$260</f>
        <v>Estudios</v>
      </c>
      <c r="D273" s="186" t="n">
        <v>0</v>
      </c>
      <c r="E273" s="291" t="n">
        <f aca="false">IF(ISERROR(D273/$D$270),"",D273/$D$270)</f>
        <v>0</v>
      </c>
      <c r="F273" s="292" t="n">
        <f aca="false">5_Produccion_Desagregada_09_10!$F$37</f>
        <v>323</v>
      </c>
      <c r="G273" s="293" t="n">
        <f aca="false">IF(ISERROR(D273/F273),"",D273/F273)</f>
        <v>0</v>
      </c>
    </row>
    <row collapsed="false" customFormat="false" customHeight="false" hidden="false" ht="14" outlineLevel="0" r="274">
      <c r="B274" s="289" t="str">
        <f aca="false">5_Produccion_Desagregada_09_10!$C$38</f>
        <v>Hematología</v>
      </c>
      <c r="C274" s="290" t="str">
        <f aca="false">C$260</f>
        <v>Estudios</v>
      </c>
      <c r="D274" s="186" t="n">
        <v>0</v>
      </c>
      <c r="E274" s="291" t="n">
        <f aca="false">IF(ISERROR(D274/$D$270),"",D274/$D$270)</f>
        <v>0</v>
      </c>
      <c r="F274" s="292" t="n">
        <f aca="false">5_Produccion_Desagregada_09_10!$F$38</f>
        <v>958</v>
      </c>
      <c r="G274" s="293" t="n">
        <f aca="false">IF(ISERROR(D274/F274),"",D274/F274)</f>
        <v>0</v>
      </c>
    </row>
    <row collapsed="false" customFormat="false" customHeight="false" hidden="false" ht="14" outlineLevel="0" r="275">
      <c r="B275" s="289" t="str">
        <f aca="false">5_Produccion_Desagregada_09_10!$C$39</f>
        <v>Oncología</v>
      </c>
      <c r="C275" s="290" t="str">
        <f aca="false">C$260</f>
        <v>Estudios</v>
      </c>
      <c r="D275" s="186" t="n">
        <v>0</v>
      </c>
      <c r="E275" s="291" t="n">
        <f aca="false">IF(ISERROR(D275/$D$270),"",D275/$D$270)</f>
        <v>0</v>
      </c>
      <c r="F275" s="292" t="n">
        <f aca="false">5_Produccion_Desagregada_09_10!$F$39</f>
        <v>708</v>
      </c>
      <c r="G275" s="293" t="n">
        <f aca="false">IF(ISERROR(D275/F275),"",D275/F275)</f>
        <v>0</v>
      </c>
    </row>
    <row collapsed="false" customFormat="false" customHeight="false" hidden="false" ht="14" outlineLevel="0" r="276">
      <c r="B276" s="289" t="str">
        <f aca="false">5_Produccion_Desagregada_09_10!$C$40</f>
        <v>Neonatología</v>
      </c>
      <c r="C276" s="290" t="str">
        <f aca="false">C$260</f>
        <v>Estudios</v>
      </c>
      <c r="D276" s="186" t="n">
        <v>0</v>
      </c>
      <c r="E276" s="291" t="n">
        <f aca="false">IF(ISERROR(D276/$D$270),"",D276/$D$270)</f>
        <v>0</v>
      </c>
      <c r="F276" s="292" t="n">
        <f aca="false">5_Produccion_Desagregada_09_10!$F$40</f>
        <v>711</v>
      </c>
      <c r="G276" s="293" t="n">
        <f aca="false">IF(ISERROR(D276/F276),"",D276/F276)</f>
        <v>0</v>
      </c>
    </row>
    <row collapsed="false" customFormat="false" customHeight="false" hidden="false" ht="14" outlineLevel="0" r="277">
      <c r="B277" s="289" t="str">
        <f aca="false">5_Produccion_Desagregada_09_10!$C$42</f>
        <v>Cirugía General</v>
      </c>
      <c r="C277" s="290" t="str">
        <f aca="false">C$260</f>
        <v>Estudios</v>
      </c>
      <c r="D277" s="186" t="n">
        <v>0</v>
      </c>
      <c r="E277" s="291" t="n">
        <f aca="false">IF(ISERROR(D277/$D$270),"",D277/$D$270)</f>
        <v>0</v>
      </c>
      <c r="F277" s="292" t="n">
        <f aca="false">5_Produccion_Desagregada_09_10!$F$42</f>
        <v>2410</v>
      </c>
      <c r="G277" s="293" t="n">
        <f aca="false">IF(ISERROR(D277/F277),"",D277/F277)</f>
        <v>0</v>
      </c>
    </row>
    <row collapsed="false" customFormat="false" customHeight="false" hidden="false" ht="14" outlineLevel="0" r="278">
      <c r="B278" s="289" t="str">
        <f aca="false">5_Produccion_Desagregada_09_10!$C$43</f>
        <v>Cirugía Plastica</v>
      </c>
      <c r="C278" s="290" t="str">
        <f aca="false">C$260</f>
        <v>Estudios</v>
      </c>
      <c r="D278" s="186" t="n">
        <v>0</v>
      </c>
      <c r="E278" s="291" t="n">
        <f aca="false">IF(ISERROR(D278/$D$270),"",D278/$D$270)</f>
        <v>0</v>
      </c>
      <c r="F278" s="292" t="n">
        <f aca="false">5_Produccion_Desagregada_09_10!$F$43</f>
        <v>962</v>
      </c>
      <c r="G278" s="293" t="n">
        <f aca="false">IF(ISERROR(D278/F278),"",D278/F278)</f>
        <v>0</v>
      </c>
    </row>
    <row collapsed="false" customFormat="false" customHeight="false" hidden="false" ht="14" outlineLevel="0" r="279">
      <c r="B279" s="289" t="str">
        <f aca="false">5_Produccion_Desagregada_09_10!$C$44</f>
        <v>Neurocirugía</v>
      </c>
      <c r="C279" s="290" t="str">
        <f aca="false">C$260</f>
        <v>Estudios</v>
      </c>
      <c r="D279" s="186" t="n">
        <v>0</v>
      </c>
      <c r="E279" s="291" t="n">
        <f aca="false">IF(ISERROR(D279/$D$270),"",D279/$D$270)</f>
        <v>0</v>
      </c>
      <c r="F279" s="292" t="n">
        <f aca="false">5_Produccion_Desagregada_09_10!$F$44</f>
        <v>1152</v>
      </c>
      <c r="G279" s="293" t="n">
        <f aca="false">IF(ISERROR(D279/F279),"",D279/F279)</f>
        <v>0</v>
      </c>
    </row>
    <row collapsed="false" customFormat="false" customHeight="false" hidden="false" ht="14" outlineLevel="0" r="280">
      <c r="B280" s="289" t="str">
        <f aca="false">5_Produccion_Desagregada_09_10!$C$45</f>
        <v>Oftalmología</v>
      </c>
      <c r="C280" s="290" t="str">
        <f aca="false">C$260</f>
        <v>Estudios</v>
      </c>
      <c r="D280" s="186" t="n">
        <v>0</v>
      </c>
      <c r="E280" s="291" t="n">
        <f aca="false">IF(ISERROR(D280/$D$270),"",D280/$D$270)</f>
        <v>0</v>
      </c>
      <c r="F280" s="292" t="n">
        <f aca="false">5_Produccion_Desagregada_09_10!$F$45</f>
        <v>905</v>
      </c>
      <c r="G280" s="293" t="n">
        <f aca="false">IF(ISERROR(D280/F280),"",D280/F280)</f>
        <v>0</v>
      </c>
    </row>
    <row collapsed="false" customFormat="false" customHeight="false" hidden="false" ht="14" outlineLevel="0" r="281">
      <c r="B281" s="289" t="str">
        <f aca="false">5_Produccion_Desagregada_09_10!$C$46</f>
        <v>Otorrinolaringología</v>
      </c>
      <c r="C281" s="290" t="str">
        <f aca="false">C$260</f>
        <v>Estudios</v>
      </c>
      <c r="D281" s="186" t="n">
        <v>412</v>
      </c>
      <c r="E281" s="291" t="n">
        <f aca="false">IF(ISERROR(D281/$D$270),"",D281/$D$270)</f>
        <v>1</v>
      </c>
      <c r="F281" s="292" t="n">
        <f aca="false">5_Produccion_Desagregada_09_10!$F$46</f>
        <v>1131</v>
      </c>
      <c r="G281" s="293" t="n">
        <f aca="false">IF(ISERROR(D281/F281),"",D281/F281)</f>
        <v>0.364279398762157</v>
      </c>
    </row>
    <row collapsed="false" customFormat="false" customHeight="false" hidden="false" ht="14" outlineLevel="0" r="282">
      <c r="B282" s="289" t="str">
        <f aca="false">5_Produccion_Desagregada_09_10!$C$47</f>
        <v>Ortopedia</v>
      </c>
      <c r="C282" s="290" t="str">
        <f aca="false">C$260</f>
        <v>Estudios</v>
      </c>
      <c r="D282" s="186" t="n">
        <v>0</v>
      </c>
      <c r="E282" s="291" t="n">
        <f aca="false">IF(ISERROR(D282/$D$270),"",D282/$D$270)</f>
        <v>0</v>
      </c>
      <c r="F282" s="292" t="n">
        <f aca="false">5_Produccion_Desagregada_09_10!$F$47</f>
        <v>706</v>
      </c>
      <c r="G282" s="293" t="n">
        <f aca="false">IF(ISERROR(D282/F282),"",D282/F282)</f>
        <v>0</v>
      </c>
    </row>
    <row collapsed="false" customFormat="false" customHeight="false" hidden="false" ht="14" outlineLevel="0" r="283">
      <c r="B283" s="289" t="str">
        <f aca="false">5_Produccion_Desagregada_09_10!$C$48</f>
        <v>Otros Servicios (Convenios / BM / ISSS)</v>
      </c>
      <c r="C283" s="290" t="str">
        <f aca="false">C$260</f>
        <v>Estudios</v>
      </c>
      <c r="D283" s="186" t="n">
        <v>0</v>
      </c>
      <c r="E283" s="291" t="n">
        <f aca="false">IF(ISERROR(D283/$D$270),"",D283/$D$270)</f>
        <v>0</v>
      </c>
      <c r="F283" s="292" t="n">
        <f aca="false">5_Produccion_Desagregada_09_10!$F$48</f>
        <v>1073</v>
      </c>
      <c r="G283" s="293" t="n">
        <f aca="false">IF(ISERROR(D283/F283),"",D283/F283)</f>
        <v>0</v>
      </c>
    </row>
    <row collapsed="false" customFormat="false" customHeight="false" hidden="false" ht="14" outlineLevel="0" r="284">
      <c r="B284" s="298" t="str">
        <f aca="false">5_Produccion_Desagregada_09_10!$C$54</f>
        <v>Cuidados Criticos</v>
      </c>
      <c r="C284" s="299"/>
      <c r="D284" s="300" t="n">
        <f aca="false">SUM(D285:D287)</f>
        <v>0</v>
      </c>
      <c r="E284" s="299" t="n">
        <f aca="false">SUM(E285:E287)</f>
        <v>0</v>
      </c>
      <c r="F284" s="300" t="n">
        <f aca="false">SUM(F285:F287)</f>
        <v>1642</v>
      </c>
      <c r="G284" s="301"/>
    </row>
    <row collapsed="false" customFormat="false" customHeight="false" hidden="false" ht="14" outlineLevel="0" r="285">
      <c r="B285" s="289" t="str">
        <f aca="false">5_Produccion_Desagregada_09_10!$C$55</f>
        <v>Unidad de Cuidados Intensivos</v>
      </c>
      <c r="C285" s="290" t="str">
        <f aca="false">C$260</f>
        <v>Estudios</v>
      </c>
      <c r="D285" s="305" t="n">
        <v>0</v>
      </c>
      <c r="E285" s="291" t="str">
        <f aca="false">IF(ISERROR(D285/$D$284),"",D285/$D$284)</f>
        <v/>
      </c>
      <c r="F285" s="292" t="n">
        <f aca="false">5_Produccion_Desagregada_09_10!$F$55</f>
        <v>926</v>
      </c>
      <c r="G285" s="293" t="n">
        <f aca="false">IF(ISERROR(D285/F285),"",D285/F285)</f>
        <v>0</v>
      </c>
    </row>
    <row collapsed="false" customFormat="false" customHeight="false" hidden="false" ht="14" outlineLevel="0" r="286">
      <c r="B286" s="289" t="str">
        <f aca="false">5_Produccion_Desagregada_09_10!$C$56</f>
        <v>Unidad de Cuidados Intermedios</v>
      </c>
      <c r="C286" s="290" t="str">
        <f aca="false">C$260</f>
        <v>Estudios</v>
      </c>
      <c r="D286" s="305" t="n">
        <v>0</v>
      </c>
      <c r="E286" s="291" t="str">
        <f aca="false">IF(ISERROR(D286/$D$284),"",D286/$D$284)</f>
        <v/>
      </c>
      <c r="F286" s="292" t="n">
        <f aca="false">5_Produccion_Desagregada_09_10!$F$56</f>
        <v>247</v>
      </c>
      <c r="G286" s="293" t="n">
        <f aca="false">IF(ISERROR(D286/F286),"",D286/F286)</f>
        <v>0</v>
      </c>
    </row>
    <row collapsed="false" customFormat="false" customHeight="false" hidden="false" ht="14" outlineLevel="0" r="287">
      <c r="B287" s="302" t="str">
        <f aca="false">5_Produccion_Desagregada_09_10!$C$57</f>
        <v>Unidad de Cuidados Intensivos Neonatales</v>
      </c>
      <c r="C287" s="290" t="str">
        <f aca="false">C$260</f>
        <v>Estudios</v>
      </c>
      <c r="D287" s="306" t="n">
        <v>0</v>
      </c>
      <c r="E287" s="291" t="str">
        <f aca="false">IF(ISERROR(D287/$D$284),"",D287/$D$284)</f>
        <v/>
      </c>
      <c r="F287" s="303" t="n">
        <f aca="false">5_Produccion_Desagregada_09_10!$F$57</f>
        <v>469</v>
      </c>
      <c r="G287" s="304" t="n">
        <f aca="false">IF(ISERROR(D287/F287),"",D287/F287)</f>
        <v>0</v>
      </c>
    </row>
    <row collapsed="false" customFormat="false" customHeight="false" hidden="false" ht="20.85" outlineLevel="0" r="288">
      <c r="A288" s="269" t="n">
        <v>4</v>
      </c>
      <c r="B288" s="277" t="s">
        <v>461</v>
      </c>
      <c r="C288" s="282" t="s">
        <v>453</v>
      </c>
      <c r="D288" s="282" t="str">
        <f aca="false">"Cantidad "&amp;C288&amp;" 2010"</f>
        <v>Cantidad Estudios 2010</v>
      </c>
      <c r="E288" s="282" t="str">
        <f aca="false">"Porcentaje "&amp;C288&amp;" 2010"</f>
        <v>Porcentaje Estudios 2010</v>
      </c>
      <c r="F288" s="282" t="s">
        <v>447</v>
      </c>
      <c r="G288" s="283" t="str">
        <f aca="false">C288&amp;" por Servicio Final"</f>
        <v>Estudios por Servicio Final</v>
      </c>
    </row>
    <row collapsed="false" customFormat="false" customHeight="false" hidden="false" ht="14" outlineLevel="0" r="289">
      <c r="B289" s="284" t="str">
        <f aca="false">5_Produccion_Desagregada_09_10!$C$5</f>
        <v>Servicios Ambulatorios</v>
      </c>
      <c r="C289" s="285"/>
      <c r="D289" s="286" t="n">
        <f aca="false">SUM(D290:D296)</f>
        <v>1449.5</v>
      </c>
      <c r="E289" s="287" t="inlineStr">
        <f aca="false">SUM(E290:E296)</f>
        <is>
          <t/>
        </is>
      </c>
      <c r="F289" s="286" t="n">
        <f aca="false">SUM(F291:F296)</f>
        <v>248597</v>
      </c>
      <c r="G289" s="288"/>
    </row>
    <row collapsed="false" customFormat="false" customHeight="false" hidden="false" ht="14" outlineLevel="0" r="290">
      <c r="B290" s="289" t="str">
        <f aca="false">5_Produccion_Desagregada_09_10!$C$7</f>
        <v>Consulta General </v>
      </c>
      <c r="C290" s="290" t="str">
        <f aca="false">C$288</f>
        <v>Estudios</v>
      </c>
      <c r="D290" s="305" t="n">
        <v>0</v>
      </c>
      <c r="E290" s="291" t="n">
        <f aca="false">IF(ISERROR(D290/$D$289),"",D290/$D$289)</f>
        <v>0</v>
      </c>
      <c r="F290" s="292" t="n">
        <f aca="false">5_Produccion_Desagregada_09_10!$F$7</f>
        <v>0</v>
      </c>
      <c r="G290" s="293" t="str">
        <f aca="false">IF(ISERROR(D290/F290),"",D290/F290)</f>
        <v/>
      </c>
    </row>
    <row collapsed="false" customFormat="false" customHeight="false" hidden="false" ht="14" outlineLevel="0" r="291">
      <c r="B291" s="289" t="str">
        <f aca="false">5_Produccion_Desagregada_09_10!$C$9</f>
        <v>Consultas de Especializadades Básicas</v>
      </c>
      <c r="C291" s="290" t="str">
        <f aca="false">C$288</f>
        <v>Estudios</v>
      </c>
      <c r="D291" s="305" t="n">
        <v>0</v>
      </c>
      <c r="E291" s="291" t="n">
        <f aca="false">IF(ISERROR(D291/$D$289),"",D291/$D$289)</f>
        <v>0</v>
      </c>
      <c r="F291" s="292" t="n">
        <f aca="false">5_Produccion_Desagregada_09_10!$F$9</f>
        <v>0</v>
      </c>
      <c r="G291" s="293" t="str">
        <f aca="false">IF(ISERROR(D291/F291),"",D291/F291)</f>
        <v/>
      </c>
    </row>
    <row collapsed="false" customFormat="false" customHeight="false" hidden="false" ht="14" outlineLevel="0" r="292">
      <c r="B292" s="289" t="str">
        <f aca="false">5_Produccion_Desagregada_09_10!$C$12</f>
        <v>Consultas de Sub Especializadades</v>
      </c>
      <c r="C292" s="290" t="str">
        <f aca="false">C$288</f>
        <v>Estudios</v>
      </c>
      <c r="D292" s="305" t="n">
        <f aca="false">909.5+36</f>
        <v>945.5</v>
      </c>
      <c r="E292" s="291" t="n">
        <f aca="false">IF(ISERROR(D292/$D$289),"",D292/$D$289)</f>
        <v>0.652293894446361</v>
      </c>
      <c r="F292" s="292" t="n">
        <f aca="false">5_Produccion_Desagregada_09_10!$F$12</f>
        <v>207721</v>
      </c>
      <c r="G292" s="293" t="n">
        <f aca="false">IF(ISERROR(D292/F292),"",D292/F292)</f>
        <v>0.00455177858762475</v>
      </c>
    </row>
    <row collapsed="false" customFormat="false" customHeight="false" hidden="false" ht="14" outlineLevel="0" r="293">
      <c r="B293" s="289" t="str">
        <f aca="false">5_Produccion_Desagregada_09_10!$C$17</f>
        <v>Consultas de Emergencia de Medicina Interna Pediatrica</v>
      </c>
      <c r="C293" s="290" t="str">
        <f aca="false">C$288</f>
        <v>Estudios</v>
      </c>
      <c r="D293" s="305" t="n">
        <v>504</v>
      </c>
      <c r="E293" s="291" t="n">
        <f aca="false">IF(ISERROR(D293/$D$289),"",D293/$D$289)</f>
        <v>0.347706105553639</v>
      </c>
      <c r="F293" s="292" t="n">
        <f aca="false">5_Produccion_Desagregada_09_10!$F$17</f>
        <v>9804</v>
      </c>
      <c r="G293" s="293" t="n">
        <f aca="false">IF(ISERROR(D293/F293),"",D293/F293)</f>
        <v>0.0514075887392901</v>
      </c>
    </row>
    <row collapsed="false" customFormat="false" customHeight="false" hidden="false" ht="14" outlineLevel="0" r="294">
      <c r="B294" s="289" t="str">
        <f aca="false">5_Produccion_Desagregada_09_10!$C$18</f>
        <v>Consultas de Emergencia de Cirugia General Pediatrica</v>
      </c>
      <c r="C294" s="290" t="str">
        <f aca="false">C$288</f>
        <v>Estudios</v>
      </c>
      <c r="D294" s="305" t="n">
        <v>0</v>
      </c>
      <c r="E294" s="291" t="n">
        <f aca="false">IF(ISERROR(D294/$D$289),"",D294/$D$289)</f>
        <v>0</v>
      </c>
      <c r="F294" s="292" t="n">
        <f aca="false">5_Produccion_Desagregada_09_10!$F$18</f>
        <v>13464</v>
      </c>
      <c r="G294" s="293" t="n">
        <f aca="false">IF(ISERROR(D294/F294),"",D294/F294)</f>
        <v>0</v>
      </c>
    </row>
    <row collapsed="false" customFormat="false" customHeight="false" hidden="false" ht="14" outlineLevel="0" r="295">
      <c r="B295" s="289" t="str">
        <f aca="false">5_Produccion_Desagregada_09_10!$C$20</f>
        <v>Consulta de Odontologia General</v>
      </c>
      <c r="C295" s="290" t="str">
        <f aca="false">C$288</f>
        <v>Estudios</v>
      </c>
      <c r="D295" s="305" t="n">
        <v>0</v>
      </c>
      <c r="E295" s="291" t="n">
        <f aca="false">IF(ISERROR(D295/$D$289),"",D295/$D$289)</f>
        <v>0</v>
      </c>
      <c r="F295" s="292" t="n">
        <f aca="false">5_Produccion_Desagregada_09_10!$F$20</f>
        <v>16487</v>
      </c>
      <c r="G295" s="293" t="n">
        <f aca="false">IF(ISERROR(D295/F295),"",D295/F295)</f>
        <v>0</v>
      </c>
    </row>
    <row collapsed="false" customFormat="false" customHeight="false" hidden="false" ht="14" outlineLevel="0" r="296">
      <c r="B296" s="289" t="str">
        <f aca="false">5_Produccion_Desagregada_09_10!$C$21</f>
        <v>Consulta de Ortodoncia</v>
      </c>
      <c r="C296" s="290" t="str">
        <f aca="false">C$288</f>
        <v>Estudios</v>
      </c>
      <c r="D296" s="305" t="n">
        <v>0</v>
      </c>
      <c r="E296" s="291" t="n">
        <f aca="false">IF(ISERROR(D296/$D$289),"",D296/$D$289)</f>
        <v>0</v>
      </c>
      <c r="F296" s="292" t="n">
        <f aca="false">5_Produccion_Desagregada_09_10!$F$21</f>
        <v>1121</v>
      </c>
      <c r="G296" s="293" t="n">
        <f aca="false">IF(ISERROR(D296/F296),"",D296/F296)</f>
        <v>0</v>
      </c>
    </row>
    <row collapsed="false" customFormat="false" customHeight="false" hidden="false" ht="14" outlineLevel="0" r="297">
      <c r="B297" s="294" t="str">
        <f aca="false">5_Produccion_Desagregada_09_10!$C$32</f>
        <v>Servicios Hospitalarios </v>
      </c>
      <c r="C297" s="295"/>
      <c r="D297" s="296" t="n">
        <f aca="false">SUM(D298,D312)</f>
        <v>1852</v>
      </c>
      <c r="E297" s="295"/>
      <c r="F297" s="296" t="n">
        <f aca="false">SUM(F298,F312)</f>
        <v>16069</v>
      </c>
      <c r="G297" s="297"/>
    </row>
    <row collapsed="false" customFormat="false" customHeight="false" hidden="false" ht="14" outlineLevel="0" r="298">
      <c r="B298" s="298" t="str">
        <f aca="false">5_Produccion_Desagregada_09_10!$C$33</f>
        <v>Egresos</v>
      </c>
      <c r="C298" s="299"/>
      <c r="D298" s="300" t="n">
        <f aca="false">SUM(D299:D311)</f>
        <v>1763</v>
      </c>
      <c r="E298" s="299" t="inlineStr">
        <f aca="false">SUM(E299:E311)</f>
        <is>
          <t/>
        </is>
      </c>
      <c r="F298" s="300" t="n">
        <f aca="false">SUM(F299:F311)</f>
        <v>14427</v>
      </c>
      <c r="G298" s="301"/>
    </row>
    <row collapsed="false" customFormat="false" customHeight="false" hidden="false" ht="14" outlineLevel="0" r="299">
      <c r="B299" s="289" t="str">
        <f aca="false">5_Produccion_Desagregada_09_10!$C$35</f>
        <v>Medicina Interna </v>
      </c>
      <c r="C299" s="290" t="str">
        <f aca="false">C$288</f>
        <v>Estudios</v>
      </c>
      <c r="D299" s="186" t="n">
        <v>93</v>
      </c>
      <c r="E299" s="291" t="n">
        <f aca="false">IF(ISERROR(D299/$D$298),"",D299/$D$298)</f>
        <v>0.0527509926262053</v>
      </c>
      <c r="F299" s="292" t="n">
        <f aca="false">5_Produccion_Desagregada_09_10!$F$35</f>
        <v>1106</v>
      </c>
      <c r="G299" s="293" t="n">
        <f aca="false">IF(ISERROR(D299/F299),"",D299/F299)</f>
        <v>0.0840867992766727</v>
      </c>
    </row>
    <row collapsed="false" customFormat="false" customHeight="false" hidden="false" ht="14" outlineLevel="0" r="300">
      <c r="B300" s="289" t="str">
        <f aca="false">5_Produccion_Desagregada_09_10!$C$36</f>
        <v>Infectología</v>
      </c>
      <c r="C300" s="290" t="str">
        <f aca="false">C$288</f>
        <v>Estudios</v>
      </c>
      <c r="D300" s="186" t="n">
        <v>105</v>
      </c>
      <c r="E300" s="291" t="n">
        <f aca="false">IF(ISERROR(D300/$D$298),"",D300/$D$298)</f>
        <v>0.0595575723199092</v>
      </c>
      <c r="F300" s="292" t="n">
        <f aca="false">5_Produccion_Desagregada_09_10!$F$36</f>
        <v>2282</v>
      </c>
      <c r="G300" s="293" t="n">
        <f aca="false">IF(ISERROR(D300/F300),"",D300/F300)</f>
        <v>0.0460122699386503</v>
      </c>
    </row>
    <row collapsed="false" customFormat="false" customHeight="false" hidden="false" ht="14" outlineLevel="0" r="301">
      <c r="B301" s="289" t="str">
        <f aca="false">5_Produccion_Desagregada_09_10!$C$37</f>
        <v>Nefrología</v>
      </c>
      <c r="C301" s="290" t="str">
        <f aca="false">C$288</f>
        <v>Estudios</v>
      </c>
      <c r="D301" s="186" t="n">
        <v>35</v>
      </c>
      <c r="E301" s="291" t="n">
        <f aca="false">IF(ISERROR(D301/$D$298),"",D301/$D$298)</f>
        <v>0.0198525241066364</v>
      </c>
      <c r="F301" s="292" t="n">
        <f aca="false">5_Produccion_Desagregada_09_10!$F$37</f>
        <v>323</v>
      </c>
      <c r="G301" s="293" t="n">
        <f aca="false">IF(ISERROR(D301/F301),"",D301/F301)</f>
        <v>0.108359133126935</v>
      </c>
    </row>
    <row collapsed="false" customFormat="false" customHeight="false" hidden="false" ht="14" outlineLevel="0" r="302">
      <c r="B302" s="289" t="str">
        <f aca="false">5_Produccion_Desagregada_09_10!$C$38</f>
        <v>Hematología</v>
      </c>
      <c r="C302" s="290" t="str">
        <f aca="false">C$288</f>
        <v>Estudios</v>
      </c>
      <c r="D302" s="186" t="n">
        <v>50</v>
      </c>
      <c r="E302" s="291" t="n">
        <f aca="false">IF(ISERROR(D302/$D$298),"",D302/$D$298)</f>
        <v>0.0283607487237663</v>
      </c>
      <c r="F302" s="292" t="n">
        <f aca="false">5_Produccion_Desagregada_09_10!$F$38</f>
        <v>958</v>
      </c>
      <c r="G302" s="293" t="n">
        <f aca="false">IF(ISERROR(D302/F302),"",D302/F302)</f>
        <v>0.0521920668058455</v>
      </c>
    </row>
    <row collapsed="false" customFormat="false" customHeight="false" hidden="false" ht="14" outlineLevel="0" r="303">
      <c r="B303" s="289" t="str">
        <f aca="false">5_Produccion_Desagregada_09_10!$C$39</f>
        <v>Oncología</v>
      </c>
      <c r="C303" s="290" t="str">
        <f aca="false">C$288</f>
        <v>Estudios</v>
      </c>
      <c r="D303" s="186" t="n">
        <v>114</v>
      </c>
      <c r="E303" s="291" t="n">
        <f aca="false">IF(ISERROR(D303/$D$298),"",D303/$D$298)</f>
        <v>0.0646625070901872</v>
      </c>
      <c r="F303" s="292" t="n">
        <f aca="false">5_Produccion_Desagregada_09_10!$F$39</f>
        <v>708</v>
      </c>
      <c r="G303" s="293" t="n">
        <f aca="false">IF(ISERROR(D303/F303),"",D303/F303)</f>
        <v>0.161016949152542</v>
      </c>
    </row>
    <row collapsed="false" customFormat="false" customHeight="false" hidden="false" ht="14" outlineLevel="0" r="304">
      <c r="B304" s="289" t="str">
        <f aca="false">5_Produccion_Desagregada_09_10!$C$40</f>
        <v>Neonatología</v>
      </c>
      <c r="C304" s="290" t="str">
        <f aca="false">C$288</f>
        <v>Estudios</v>
      </c>
      <c r="D304" s="186" t="n">
        <v>39</v>
      </c>
      <c r="E304" s="291" t="n">
        <f aca="false">IF(ISERROR(D304/$D$298),"",D304/$D$298)</f>
        <v>0.0221213840045377</v>
      </c>
      <c r="F304" s="292" t="n">
        <f aca="false">5_Produccion_Desagregada_09_10!$F$40</f>
        <v>711</v>
      </c>
      <c r="G304" s="293" t="n">
        <f aca="false">IF(ISERROR(D304/F304),"",D304/F304)</f>
        <v>0.0548523206751055</v>
      </c>
    </row>
    <row collapsed="false" customFormat="false" customHeight="false" hidden="false" ht="14" outlineLevel="0" r="305">
      <c r="B305" s="289" t="str">
        <f aca="false">5_Produccion_Desagregada_09_10!$C$42</f>
        <v>Cirugía General</v>
      </c>
      <c r="C305" s="290" t="str">
        <f aca="false">C$288</f>
        <v>Estudios</v>
      </c>
      <c r="D305" s="186" t="n">
        <v>916</v>
      </c>
      <c r="E305" s="291" t="n">
        <f aca="false">IF(ISERROR(D305/$D$298),"",D305/$D$298)</f>
        <v>0.519568916619399</v>
      </c>
      <c r="F305" s="292" t="n">
        <f aca="false">5_Produccion_Desagregada_09_10!$F$42</f>
        <v>2410</v>
      </c>
      <c r="G305" s="293" t="n">
        <f aca="false">IF(ISERROR(D305/F305),"",D305/F305)</f>
        <v>0.380082987551867</v>
      </c>
    </row>
    <row collapsed="false" customFormat="false" customHeight="false" hidden="false" ht="14" outlineLevel="0" r="306">
      <c r="B306" s="289" t="str">
        <f aca="false">5_Produccion_Desagregada_09_10!$C$43</f>
        <v>Cirugía Plastica</v>
      </c>
      <c r="C306" s="290" t="str">
        <f aca="false">C$288</f>
        <v>Estudios</v>
      </c>
      <c r="D306" s="186" t="n">
        <v>36</v>
      </c>
      <c r="E306" s="291" t="n">
        <f aca="false">IF(ISERROR(D306/$D$298),"",D306/$D$298)</f>
        <v>0.0204197390811117</v>
      </c>
      <c r="F306" s="292" t="n">
        <f aca="false">5_Produccion_Desagregada_09_10!$F$43</f>
        <v>962</v>
      </c>
      <c r="G306" s="293" t="n">
        <f aca="false">IF(ISERROR(D306/F306),"",D306/F306)</f>
        <v>0.0374220374220374</v>
      </c>
    </row>
    <row collapsed="false" customFormat="false" customHeight="false" hidden="false" ht="14" outlineLevel="0" r="307">
      <c r="B307" s="289" t="str">
        <f aca="false">5_Produccion_Desagregada_09_10!$C$44</f>
        <v>Neurocirugía</v>
      </c>
      <c r="C307" s="290" t="str">
        <f aca="false">C$288</f>
        <v>Estudios</v>
      </c>
      <c r="D307" s="186" t="n">
        <v>70</v>
      </c>
      <c r="E307" s="291" t="n">
        <f aca="false">IF(ISERROR(D307/$D$298),"",D307/$D$298)</f>
        <v>0.0397050482132728</v>
      </c>
      <c r="F307" s="292" t="n">
        <f aca="false">5_Produccion_Desagregada_09_10!$F$44</f>
        <v>1152</v>
      </c>
      <c r="G307" s="293" t="n">
        <f aca="false">IF(ISERROR(D307/F307),"",D307/F307)</f>
        <v>0.0607638888888889</v>
      </c>
    </row>
    <row collapsed="false" customFormat="false" customHeight="false" hidden="false" ht="14" outlineLevel="0" r="308">
      <c r="B308" s="289" t="str">
        <f aca="false">5_Produccion_Desagregada_09_10!$C$45</f>
        <v>Oftalmología</v>
      </c>
      <c r="C308" s="290" t="str">
        <f aca="false">C$288</f>
        <v>Estudios</v>
      </c>
      <c r="D308" s="186" t="n">
        <v>50</v>
      </c>
      <c r="E308" s="291" t="n">
        <f aca="false">IF(ISERROR(D308/$D$298),"",D308/$D$298)</f>
        <v>0.0283607487237663</v>
      </c>
      <c r="F308" s="292" t="n">
        <f aca="false">5_Produccion_Desagregada_09_10!$F$45</f>
        <v>905</v>
      </c>
      <c r="G308" s="293" t="n">
        <f aca="false">IF(ISERROR(D308/F308),"",D308/F308)</f>
        <v>0.0552486187845304</v>
      </c>
    </row>
    <row collapsed="false" customFormat="false" customHeight="false" hidden="false" ht="14" outlineLevel="0" r="309">
      <c r="B309" s="289" t="str">
        <f aca="false">5_Produccion_Desagregada_09_10!$C$46</f>
        <v>Otorrinolaringología</v>
      </c>
      <c r="C309" s="290" t="str">
        <f aca="false">C$288</f>
        <v>Estudios</v>
      </c>
      <c r="D309" s="186" t="n">
        <v>102</v>
      </c>
      <c r="E309" s="291" t="n">
        <f aca="false">IF(ISERROR(D309/$D$298),"",D309/$D$298)</f>
        <v>0.0578559273964833</v>
      </c>
      <c r="F309" s="292" t="n">
        <f aca="false">5_Produccion_Desagregada_09_10!$F$46</f>
        <v>1131</v>
      </c>
      <c r="G309" s="293" t="n">
        <f aca="false">IF(ISERROR(D309/F309),"",D309/F309)</f>
        <v>0.0901856763925729</v>
      </c>
    </row>
    <row collapsed="false" customFormat="false" customHeight="false" hidden="false" ht="14" outlineLevel="0" r="310">
      <c r="B310" s="289" t="str">
        <f aca="false">5_Produccion_Desagregada_09_10!$C$47</f>
        <v>Ortopedia</v>
      </c>
      <c r="C310" s="290" t="str">
        <f aca="false">C$288</f>
        <v>Estudios</v>
      </c>
      <c r="D310" s="186" t="n">
        <v>42</v>
      </c>
      <c r="E310" s="291" t="n">
        <f aca="false">IF(ISERROR(D310/$D$298),"",D310/$D$298)</f>
        <v>0.0238230289279637</v>
      </c>
      <c r="F310" s="292" t="n">
        <f aca="false">5_Produccion_Desagregada_09_10!$F$47</f>
        <v>706</v>
      </c>
      <c r="G310" s="293" t="n">
        <f aca="false">IF(ISERROR(D310/F310),"",D310/F310)</f>
        <v>0.0594900849858357</v>
      </c>
    </row>
    <row collapsed="false" customFormat="false" customHeight="false" hidden="false" ht="14" outlineLevel="0" r="311">
      <c r="B311" s="289" t="str">
        <f aca="false">5_Produccion_Desagregada_09_10!$C$48</f>
        <v>Otros Servicios (Convenios / BM / ISSS)</v>
      </c>
      <c r="C311" s="290" t="str">
        <f aca="false">C$288</f>
        <v>Estudios</v>
      </c>
      <c r="D311" s="186" t="n">
        <v>111</v>
      </c>
      <c r="E311" s="291" t="n">
        <f aca="false">IF(ISERROR(D311/$D$298),"",D311/$D$298)</f>
        <v>0.0629608621667612</v>
      </c>
      <c r="F311" s="292" t="n">
        <f aca="false">5_Produccion_Desagregada_09_10!$F$48</f>
        <v>1073</v>
      </c>
      <c r="G311" s="293" t="n">
        <f aca="false">IF(ISERROR(D311/F311),"",D311/F311)</f>
        <v>0.103448275862069</v>
      </c>
    </row>
    <row collapsed="false" customFormat="false" customHeight="false" hidden="false" ht="14" outlineLevel="0" r="312">
      <c r="B312" s="298" t="str">
        <f aca="false">5_Produccion_Desagregada_09_10!$C$54</f>
        <v>Cuidados Criticos</v>
      </c>
      <c r="C312" s="299"/>
      <c r="D312" s="300" t="n">
        <f aca="false">SUM(D313:D315)</f>
        <v>89</v>
      </c>
      <c r="E312" s="299" t="inlineStr">
        <f aca="false">SUM(E313:E315)</f>
        <is>
          <t/>
        </is>
      </c>
      <c r="F312" s="300" t="n">
        <f aca="false">SUM(F313:F315)</f>
        <v>1642</v>
      </c>
      <c r="G312" s="301"/>
    </row>
    <row collapsed="false" customFormat="false" customHeight="false" hidden="false" ht="14" outlineLevel="0" r="313">
      <c r="B313" s="289" t="str">
        <f aca="false">5_Produccion_Desagregada_09_10!$C$55</f>
        <v>Unidad de Cuidados Intensivos</v>
      </c>
      <c r="C313" s="290" t="str">
        <f aca="false">C$288</f>
        <v>Estudios</v>
      </c>
      <c r="D313" s="305" t="n">
        <v>53</v>
      </c>
      <c r="E313" s="291" t="n">
        <f aca="false">IF(ISERROR(D313/$D$312),"",D313/$D$312)</f>
        <v>0.595505617977528</v>
      </c>
      <c r="F313" s="292" t="n">
        <f aca="false">5_Produccion_Desagregada_09_10!$F$55</f>
        <v>926</v>
      </c>
      <c r="G313" s="293" t="n">
        <f aca="false">IF(ISERROR(D313/F313),"",D313/F313)</f>
        <v>0.0572354211663067</v>
      </c>
    </row>
    <row collapsed="false" customFormat="false" customHeight="false" hidden="false" ht="14" outlineLevel="0" r="314">
      <c r="B314" s="289" t="str">
        <f aca="false">5_Produccion_Desagregada_09_10!$C$56</f>
        <v>Unidad de Cuidados Intermedios</v>
      </c>
      <c r="C314" s="290" t="str">
        <f aca="false">C$288</f>
        <v>Estudios</v>
      </c>
      <c r="D314" s="305" t="n">
        <v>5</v>
      </c>
      <c r="E314" s="291" t="n">
        <f aca="false">IF(ISERROR(D314/$D$312),"",D314/$D$312)</f>
        <v>0.0561797752808989</v>
      </c>
      <c r="F314" s="292" t="n">
        <f aca="false">5_Produccion_Desagregada_09_10!$F$56</f>
        <v>247</v>
      </c>
      <c r="G314" s="293" t="n">
        <f aca="false">IF(ISERROR(D314/F314),"",D314/F314)</f>
        <v>0.0202429149797571</v>
      </c>
    </row>
    <row collapsed="false" customFormat="false" customHeight="false" hidden="false" ht="14" outlineLevel="0" r="315">
      <c r="B315" s="302" t="str">
        <f aca="false">5_Produccion_Desagregada_09_10!$C$57</f>
        <v>Unidad de Cuidados Intensivos Neonatales</v>
      </c>
      <c r="C315" s="290" t="str">
        <f aca="false">C$288</f>
        <v>Estudios</v>
      </c>
      <c r="D315" s="306" t="n">
        <v>31</v>
      </c>
      <c r="E315" s="291" t="n">
        <f aca="false">IF(ISERROR(D315/$D$312),"",D315/$D$312)</f>
        <v>0.348314606741573</v>
      </c>
      <c r="F315" s="303" t="n">
        <f aca="false">5_Produccion_Desagregada_09_10!$F$57</f>
        <v>469</v>
      </c>
      <c r="G315" s="304" t="n">
        <f aca="false">IF(ISERROR(D315/F315),"",D315/F315)</f>
        <v>0.0660980810234542</v>
      </c>
    </row>
    <row collapsed="false" customFormat="false" customHeight="false" hidden="false" ht="14" outlineLevel="0" r="316">
      <c r="A316" s="269" t="n">
        <v>5</v>
      </c>
      <c r="B316" s="277" t="s">
        <v>462</v>
      </c>
      <c r="C316" s="278"/>
      <c r="D316" s="279"/>
      <c r="E316" s="278"/>
      <c r="F316" s="278"/>
      <c r="G316" s="280"/>
    </row>
    <row collapsed="false" customFormat="false" customHeight="false" hidden="false" ht="20.85" outlineLevel="0" r="317">
      <c r="A317" s="269" t="n">
        <v>5.1</v>
      </c>
      <c r="B317" s="281" t="s">
        <v>463</v>
      </c>
      <c r="C317" s="282" t="s">
        <v>464</v>
      </c>
      <c r="D317" s="282" t="str">
        <f aca="false">"Cantidad "&amp;C317&amp;" 2010"</f>
        <v>Cantidad Recetas Despachadas 2010</v>
      </c>
      <c r="E317" s="282" t="str">
        <f aca="false">"Porcentaje "&amp;C317&amp;" 2010"</f>
        <v>Porcentaje Recetas Despachadas 2010</v>
      </c>
      <c r="F317" s="282" t="s">
        <v>447</v>
      </c>
      <c r="G317" s="283" t="str">
        <f aca="false">C317&amp;" por Servicio Final"</f>
        <v>Recetas Despachadas por Servicio Final</v>
      </c>
    </row>
    <row collapsed="false" customFormat="false" customHeight="false" hidden="false" ht="14" outlineLevel="0" r="318">
      <c r="B318" s="284" t="str">
        <f aca="false">5_Produccion_Desagregada_09_10!$C$5</f>
        <v>Servicios Ambulatorios</v>
      </c>
      <c r="C318" s="285"/>
      <c r="D318" s="286" t="n">
        <f aca="false">SUM(D319:D325)</f>
        <v>196807</v>
      </c>
      <c r="E318" s="287" t="inlineStr">
        <f aca="false">SUM(E319:E325)</f>
        <is>
          <t/>
        </is>
      </c>
      <c r="F318" s="286" t="n">
        <f aca="false">SUM(F320:F325)</f>
        <v>248597</v>
      </c>
      <c r="G318" s="288"/>
    </row>
    <row collapsed="false" customFormat="false" customHeight="false" hidden="false" ht="14" outlineLevel="0" r="319">
      <c r="B319" s="289" t="str">
        <f aca="false">5_Produccion_Desagregada_09_10!$C$7</f>
        <v>Consulta General </v>
      </c>
      <c r="C319" s="290" t="str">
        <f aca="false">C$317</f>
        <v>Recetas Despachadas</v>
      </c>
      <c r="D319" s="305" t="n">
        <v>0</v>
      </c>
      <c r="E319" s="291" t="n">
        <f aca="false">IF(ISERROR(D319/$D$318),"",D319/$D$318)</f>
        <v>0</v>
      </c>
      <c r="F319" s="292" t="n">
        <f aca="false">5_Produccion_Desagregada_09_10!$F$7</f>
        <v>0</v>
      </c>
      <c r="G319" s="293" t="str">
        <f aca="false">IF(ISERROR(D319/F319),"",D319/F319)</f>
        <v/>
      </c>
    </row>
    <row collapsed="false" customFormat="false" customHeight="false" hidden="false" ht="14" outlineLevel="0" r="320">
      <c r="B320" s="289" t="str">
        <f aca="false">5_Produccion_Desagregada_09_10!$C$9</f>
        <v>Consultas de Especializadades Básicas</v>
      </c>
      <c r="C320" s="290" t="str">
        <f aca="false">C$317</f>
        <v>Recetas Despachadas</v>
      </c>
      <c r="D320" s="305" t="n">
        <v>0</v>
      </c>
      <c r="E320" s="291" t="n">
        <f aca="false">IF(ISERROR(D320/$D$318),"",D320/$D$318)</f>
        <v>0</v>
      </c>
      <c r="F320" s="292" t="n">
        <f aca="false">5_Produccion_Desagregada_09_10!$F$9</f>
        <v>0</v>
      </c>
      <c r="G320" s="293" t="str">
        <f aca="false">IF(ISERROR(D320/F320),"",D320/F320)</f>
        <v/>
      </c>
    </row>
    <row collapsed="false" customFormat="false" customHeight="false" hidden="false" ht="14" outlineLevel="0" r="321">
      <c r="B321" s="289" t="str">
        <f aca="false">5_Produccion_Desagregada_09_10!$C$12</f>
        <v>Consultas de Sub Especializadades</v>
      </c>
      <c r="C321" s="290" t="str">
        <f aca="false">C$317</f>
        <v>Recetas Despachadas</v>
      </c>
      <c r="D321" s="305" t="n">
        <f aca="false">142711+10809</f>
        <v>153520</v>
      </c>
      <c r="E321" s="291" t="n">
        <f aca="false">IF(ISERROR(D321/$D$318),"",D321/$D$318)</f>
        <v>0.780053555005665</v>
      </c>
      <c r="F321" s="292" t="n">
        <f aca="false">5_Produccion_Desagregada_09_10!$F$12</f>
        <v>207721</v>
      </c>
      <c r="G321" s="293" t="n">
        <f aca="false">IF(ISERROR(D321/F321),"",D321/F321)</f>
        <v>0.73906826945759</v>
      </c>
    </row>
    <row collapsed="false" customFormat="false" customHeight="false" hidden="false" ht="14" outlineLevel="0" r="322">
      <c r="B322" s="289" t="str">
        <f aca="false">5_Produccion_Desagregada_09_10!$C$17</f>
        <v>Consultas de Emergencia de Medicina Interna Pediatrica</v>
      </c>
      <c r="C322" s="290" t="str">
        <f aca="false">C$317</f>
        <v>Recetas Despachadas</v>
      </c>
      <c r="D322" s="305" t="n">
        <v>42114</v>
      </c>
      <c r="E322" s="291" t="n">
        <f aca="false">IF(ISERROR(D322/$D$318),"",D322/$D$318)</f>
        <v>0.213986291138018</v>
      </c>
      <c r="F322" s="292" t="n">
        <f aca="false">5_Produccion_Desagregada_09_10!$F$17</f>
        <v>9804</v>
      </c>
      <c r="G322" s="293" t="n">
        <f aca="false">IF(ISERROR(D322/F322),"",D322/F322)</f>
        <v>4.29559363525092</v>
      </c>
    </row>
    <row collapsed="false" customFormat="false" customHeight="false" hidden="false" ht="14" outlineLevel="0" r="323">
      <c r="B323" s="289" t="str">
        <f aca="false">5_Produccion_Desagregada_09_10!$C$18</f>
        <v>Consultas de Emergencia de Cirugia General Pediatrica</v>
      </c>
      <c r="C323" s="290" t="str">
        <f aca="false">C$317</f>
        <v>Recetas Despachadas</v>
      </c>
      <c r="D323" s="305" t="n">
        <v>0</v>
      </c>
      <c r="E323" s="291" t="n">
        <f aca="false">IF(ISERROR(D323/$D$318),"",D323/$D$318)</f>
        <v>0</v>
      </c>
      <c r="F323" s="292" t="n">
        <f aca="false">5_Produccion_Desagregada_09_10!$F$18</f>
        <v>13464</v>
      </c>
      <c r="G323" s="293" t="n">
        <f aca="false">IF(ISERROR(D323/F323),"",D323/F323)</f>
        <v>0</v>
      </c>
    </row>
    <row collapsed="false" customFormat="false" customHeight="false" hidden="false" ht="14" outlineLevel="0" r="324">
      <c r="B324" s="289" t="str">
        <f aca="false">5_Produccion_Desagregada_09_10!$C$20</f>
        <v>Consulta de Odontologia General</v>
      </c>
      <c r="C324" s="290" t="str">
        <f aca="false">C$317</f>
        <v>Recetas Despachadas</v>
      </c>
      <c r="D324" s="305" t="n">
        <v>1149</v>
      </c>
      <c r="E324" s="291" t="n">
        <f aca="false">IF(ISERROR(D324/$D$318),"",D324/$D$318)</f>
        <v>0.00583820697434543</v>
      </c>
      <c r="F324" s="292" t="n">
        <f aca="false">5_Produccion_Desagregada_09_10!$F$20</f>
        <v>16487</v>
      </c>
      <c r="G324" s="293" t="n">
        <f aca="false">IF(ISERROR(D324/F324),"",D324/F324)</f>
        <v>0.0696912719112028</v>
      </c>
    </row>
    <row collapsed="false" customFormat="false" customHeight="false" hidden="false" ht="14" outlineLevel="0" r="325">
      <c r="B325" s="289" t="str">
        <f aca="false">5_Produccion_Desagregada_09_10!$C$21</f>
        <v>Consulta de Ortodoncia</v>
      </c>
      <c r="C325" s="290" t="str">
        <f aca="false">C$317</f>
        <v>Recetas Despachadas</v>
      </c>
      <c r="D325" s="305" t="n">
        <v>24</v>
      </c>
      <c r="E325" s="291" t="n">
        <f aca="false">IF(ISERROR(D325/$D$318),"",D325/$D$318)</f>
        <v>0.000121946881970662</v>
      </c>
      <c r="F325" s="292" t="n">
        <f aca="false">5_Produccion_Desagregada_09_10!$F$21</f>
        <v>1121</v>
      </c>
      <c r="G325" s="293" t="n">
        <f aca="false">IF(ISERROR(D325/F325),"",D325/F325)</f>
        <v>0.0214094558429973</v>
      </c>
    </row>
    <row collapsed="false" customFormat="false" customHeight="false" hidden="false" ht="14" outlineLevel="0" r="326">
      <c r="B326" s="294" t="str">
        <f aca="false">5_Produccion_Desagregada_09_10!$C$32</f>
        <v>Servicios Hospitalarios </v>
      </c>
      <c r="C326" s="295"/>
      <c r="D326" s="296" t="n">
        <f aca="false">SUM(D327,D341)</f>
        <v>335641</v>
      </c>
      <c r="E326" s="295"/>
      <c r="F326" s="296" t="n">
        <f aca="false">SUM(F327,F341)</f>
        <v>16069</v>
      </c>
      <c r="G326" s="297"/>
    </row>
    <row collapsed="false" customFormat="false" customHeight="false" hidden="false" ht="14" outlineLevel="0" r="327">
      <c r="B327" s="298" t="str">
        <f aca="false">5_Produccion_Desagregada_09_10!$C$33</f>
        <v>Egresos</v>
      </c>
      <c r="C327" s="299"/>
      <c r="D327" s="300" t="n">
        <f aca="false">SUM(D328:D340)</f>
        <v>262584</v>
      </c>
      <c r="E327" s="299" t="inlineStr">
        <f aca="false">SUM(E328:E340)</f>
        <is>
          <t/>
        </is>
      </c>
      <c r="F327" s="300" t="n">
        <f aca="false">SUM(F328:F340)</f>
        <v>14427</v>
      </c>
      <c r="G327" s="301"/>
    </row>
    <row collapsed="false" customFormat="false" customHeight="false" hidden="false" ht="14" outlineLevel="0" r="328">
      <c r="B328" s="289" t="str">
        <f aca="false">5_Produccion_Desagregada_09_10!$C$35</f>
        <v>Medicina Interna </v>
      </c>
      <c r="C328" s="290" t="str">
        <f aca="false">C$317</f>
        <v>Recetas Despachadas</v>
      </c>
      <c r="D328" s="186" t="n">
        <v>25519</v>
      </c>
      <c r="E328" s="291" t="n">
        <f aca="false">IF(ISERROR(D328/$D$327),"",D328/$D$327)</f>
        <v>0.0971841391707035</v>
      </c>
      <c r="F328" s="292" t="n">
        <f aca="false">5_Produccion_Desagregada_09_10!$F$35</f>
        <v>1106</v>
      </c>
      <c r="G328" s="293" t="n">
        <f aca="false">IF(ISERROR(D328/F328),"",D328/F328)</f>
        <v>23.0732368896926</v>
      </c>
    </row>
    <row collapsed="false" customFormat="false" customHeight="false" hidden="false" ht="14" outlineLevel="0" r="329">
      <c r="B329" s="289" t="str">
        <f aca="false">5_Produccion_Desagregada_09_10!$C$36</f>
        <v>Infectología</v>
      </c>
      <c r="C329" s="290" t="str">
        <f aca="false">C$317</f>
        <v>Recetas Despachadas</v>
      </c>
      <c r="D329" s="186" t="n">
        <v>40217</v>
      </c>
      <c r="E329" s="291" t="n">
        <f aca="false">IF(ISERROR(D329/$D$327),"",D329/$D$327)</f>
        <v>0.153158608292965</v>
      </c>
      <c r="F329" s="292" t="n">
        <f aca="false">5_Produccion_Desagregada_09_10!$F$36</f>
        <v>2282</v>
      </c>
      <c r="G329" s="293" t="n">
        <f aca="false">IF(ISERROR(D329/F329),"",D329/F329)</f>
        <v>17.6235758106924</v>
      </c>
    </row>
    <row collapsed="false" customFormat="false" customHeight="false" hidden="false" ht="14" outlineLevel="0" r="330">
      <c r="B330" s="289" t="str">
        <f aca="false">5_Produccion_Desagregada_09_10!$C$37</f>
        <v>Nefrología</v>
      </c>
      <c r="C330" s="290" t="str">
        <f aca="false">C$317</f>
        <v>Recetas Despachadas</v>
      </c>
      <c r="D330" s="307" t="n">
        <v>21526</v>
      </c>
      <c r="E330" s="291" t="n">
        <f aca="false">IF(ISERROR(D331/$D$327),"",D331/$D$327)</f>
        <v>0.0713904883770527</v>
      </c>
      <c r="F330" s="292" t="n">
        <f aca="false">5_Produccion_Desagregada_09_10!$F$37</f>
        <v>323</v>
      </c>
      <c r="G330" s="293" t="n">
        <f aca="false">IF(ISERROR(D331/F330),"",D331/F330)</f>
        <v>58.0371517027864</v>
      </c>
    </row>
    <row collapsed="false" customFormat="false" customHeight="false" hidden="false" ht="14" outlineLevel="0" r="331">
      <c r="B331" s="289" t="str">
        <f aca="false">5_Produccion_Desagregada_09_10!$C$38</f>
        <v>Hematología</v>
      </c>
      <c r="C331" s="290" t="str">
        <f aca="false">C$317</f>
        <v>Recetas Despachadas</v>
      </c>
      <c r="D331" s="186" t="n">
        <v>18746</v>
      </c>
      <c r="E331" s="291" t="n">
        <f aca="false">IF(ISERROR(D332/$D$327),"",D332/$D$327)</f>
        <v>0.127220241903543</v>
      </c>
      <c r="F331" s="292" t="n">
        <f aca="false">5_Produccion_Desagregada_09_10!$F$38</f>
        <v>958</v>
      </c>
      <c r="G331" s="293" t="n">
        <f aca="false">IF(ISERROR(D332/F331),"",D332/F331)</f>
        <v>34.8705636743215</v>
      </c>
    </row>
    <row collapsed="false" customFormat="false" customHeight="false" hidden="false" ht="14" outlineLevel="0" r="332">
      <c r="B332" s="289" t="str">
        <f aca="false">5_Produccion_Desagregada_09_10!$C$39</f>
        <v>Oncología</v>
      </c>
      <c r="C332" s="290" t="str">
        <f aca="false">C$317</f>
        <v>Recetas Despachadas</v>
      </c>
      <c r="D332" s="186" t="n">
        <v>33406</v>
      </c>
      <c r="E332" s="291" t="n">
        <f aca="false">IF(ISERROR(D333/$D$327),"",D333/$D$327)</f>
        <v>0.0542873899399811</v>
      </c>
      <c r="F332" s="292" t="n">
        <f aca="false">5_Produccion_Desagregada_09_10!$F$39</f>
        <v>708</v>
      </c>
      <c r="G332" s="293" t="n">
        <f aca="false">IF(ISERROR(D333/F332),"",D333/F332)</f>
        <v>20.1341807909605</v>
      </c>
    </row>
    <row collapsed="false" customFormat="false" customHeight="false" hidden="false" ht="14" outlineLevel="0" r="333">
      <c r="B333" s="289" t="str">
        <f aca="false">5_Produccion_Desagregada_09_10!$C$40</f>
        <v>Neonatología</v>
      </c>
      <c r="C333" s="290" t="str">
        <f aca="false">C$317</f>
        <v>Recetas Despachadas</v>
      </c>
      <c r="D333" s="186" t="n">
        <v>14255</v>
      </c>
      <c r="E333" s="291" t="n">
        <f aca="false">IF(ISERROR(D334/$D$327),"",D334/$D$327)</f>
        <v>0.116320872558876</v>
      </c>
      <c r="F333" s="292" t="n">
        <f aca="false">5_Produccion_Desagregada_09_10!$F$40</f>
        <v>711</v>
      </c>
      <c r="G333" s="293" t="n">
        <f aca="false">IF(ISERROR(D334/F333),"",D334/F333)</f>
        <v>42.9592123769339</v>
      </c>
    </row>
    <row collapsed="false" customFormat="false" customHeight="false" hidden="false" ht="14" outlineLevel="0" r="334">
      <c r="B334" s="289" t="str">
        <f aca="false">5_Produccion_Desagregada_09_10!$C$42</f>
        <v>Cirugía General</v>
      </c>
      <c r="C334" s="290" t="str">
        <f aca="false">C$317</f>
        <v>Recetas Despachadas</v>
      </c>
      <c r="D334" s="186" t="n">
        <v>30544</v>
      </c>
      <c r="E334" s="291" t="n">
        <f aca="false">IF(ISERROR(D335/$D$327),"",D335/$D$327)</f>
        <v>0.0929074124851476</v>
      </c>
      <c r="F334" s="292" t="n">
        <f aca="false">5_Produccion_Desagregada_09_10!$F$42</f>
        <v>2410</v>
      </c>
      <c r="G334" s="293" t="n">
        <f aca="false">IF(ISERROR(D335/F334),"",D335/F334)</f>
        <v>10.1228215767635</v>
      </c>
    </row>
    <row collapsed="false" customFormat="false" customHeight="false" hidden="false" ht="14" outlineLevel="0" r="335">
      <c r="B335" s="289" t="str">
        <f aca="false">5_Produccion_Desagregada_09_10!$C$43</f>
        <v>Cirugía Plastica</v>
      </c>
      <c r="C335" s="290" t="str">
        <f aca="false">C$317</f>
        <v>Recetas Despachadas</v>
      </c>
      <c r="D335" s="186" t="n">
        <v>24396</v>
      </c>
      <c r="E335" s="291" t="n">
        <f aca="false">IF(ISERROR(D336/$D$327),"",D336/$D$327)</f>
        <v>0.0737859123175822</v>
      </c>
      <c r="F335" s="292" t="n">
        <f aca="false">5_Produccion_Desagregada_09_10!$F$43</f>
        <v>962</v>
      </c>
      <c r="G335" s="293" t="n">
        <f aca="false">IF(ISERROR(D336/F335),"",D336/F335)</f>
        <v>20.1403326403326</v>
      </c>
    </row>
    <row collapsed="false" customFormat="false" customHeight="false" hidden="false" ht="14" outlineLevel="0" r="336">
      <c r="B336" s="289" t="str">
        <f aca="false">5_Produccion_Desagregada_09_10!$C$44</f>
        <v>Neurocirugía</v>
      </c>
      <c r="C336" s="290" t="str">
        <f aca="false">C$317</f>
        <v>Recetas Despachadas</v>
      </c>
      <c r="D336" s="186" t="n">
        <v>19375</v>
      </c>
      <c r="E336" s="291" t="n">
        <f aca="false">IF(ISERROR(D337/$D$327),"",D337/$D$327)</f>
        <v>0.0271113243761996</v>
      </c>
      <c r="F336" s="292" t="n">
        <f aca="false">5_Produccion_Desagregada_09_10!$F$44</f>
        <v>1152</v>
      </c>
      <c r="G336" s="293" t="n">
        <f aca="false">IF(ISERROR(D337/F336),"",D337/F336)</f>
        <v>6.1796875</v>
      </c>
    </row>
    <row collapsed="false" customFormat="false" customHeight="false" hidden="false" ht="14" outlineLevel="0" r="337">
      <c r="B337" s="289" t="str">
        <f aca="false">5_Produccion_Desagregada_09_10!$C$45</f>
        <v>Oftalmología</v>
      </c>
      <c r="C337" s="290" t="str">
        <f aca="false">C$317</f>
        <v>Recetas Despachadas</v>
      </c>
      <c r="D337" s="186" t="n">
        <v>7119</v>
      </c>
      <c r="E337" s="291" t="n">
        <f aca="false">IF(ISERROR(D338/$D$327),"",D338/$D$327)</f>
        <v>0.00541540992596655</v>
      </c>
      <c r="F337" s="292" t="n">
        <f aca="false">5_Produccion_Desagregada_09_10!$F$45</f>
        <v>905</v>
      </c>
      <c r="G337" s="293" t="n">
        <f aca="false">IF(ISERROR(D338/F337),"",D338/F337)</f>
        <v>1.57127071823204</v>
      </c>
    </row>
    <row collapsed="false" customFormat="false" customHeight="false" hidden="false" ht="14" outlineLevel="0" r="338">
      <c r="B338" s="289" t="str">
        <f aca="false">5_Produccion_Desagregada_09_10!$C$46</f>
        <v>Otorrinolaringología</v>
      </c>
      <c r="C338" s="290" t="str">
        <f aca="false">C$317</f>
        <v>Recetas Despachadas</v>
      </c>
      <c r="D338" s="186" t="n">
        <v>1422</v>
      </c>
      <c r="E338" s="291" t="n">
        <f aca="false">IF(ISERROR(D339/$D$327),"",D339/$D$327)</f>
        <v>0.0477332967736039</v>
      </c>
      <c r="F338" s="292" t="n">
        <f aca="false">5_Produccion_Desagregada_09_10!$F$46</f>
        <v>1131</v>
      </c>
      <c r="G338" s="293" t="n">
        <f aca="false">IF(ISERROR(D339/F338),"",D339/F338)</f>
        <v>11.0822281167109</v>
      </c>
    </row>
    <row collapsed="false" customFormat="false" customHeight="false" hidden="false" ht="14" outlineLevel="0" r="339">
      <c r="B339" s="289" t="str">
        <f aca="false">5_Produccion_Desagregada_09_10!$C$47</f>
        <v>Ortopedia</v>
      </c>
      <c r="C339" s="290" t="str">
        <f aca="false">C$317</f>
        <v>Recetas Despachadas</v>
      </c>
      <c r="D339" s="186" t="n">
        <v>12534</v>
      </c>
      <c r="E339" s="291" t="n">
        <f aca="false">IF(ISERROR(D340/$D$327),"",D340/$D$327)</f>
        <v>0.0515073271791122</v>
      </c>
      <c r="F339" s="292" t="n">
        <f aca="false">5_Produccion_Desagregada_09_10!$F$47</f>
        <v>706</v>
      </c>
      <c r="G339" s="293" t="n">
        <f aca="false">IF(ISERROR(D340/F339),"",D340/F339)</f>
        <v>19.157223796034</v>
      </c>
    </row>
    <row collapsed="false" customFormat="false" customHeight="false" hidden="false" ht="14" outlineLevel="0" r="340">
      <c r="B340" s="289" t="str">
        <f aca="false">5_Produccion_Desagregada_09_10!$C$48</f>
        <v>Otros Servicios (Convenios / BM / ISSS)</v>
      </c>
      <c r="C340" s="290" t="str">
        <f aca="false">C$317</f>
        <v>Recetas Despachadas</v>
      </c>
      <c r="D340" s="186" t="n">
        <v>13525</v>
      </c>
      <c r="E340" s="291" t="b">
        <f aca="false">IF(ISERROR(#REF!/$D$327),"",#REF!/$D$327)))</f>
        <v>1</v>
      </c>
      <c r="F340" s="292" t="n">
        <f aca="false">5_Produccion_Desagregada_09_10!$F$48</f>
        <v>1073</v>
      </c>
      <c r="G340" s="293" t="b">
        <f aca="false">IF(ISERROR(#REF!/F340),"",#REF!/F340)))</f>
        <v>1</v>
      </c>
    </row>
    <row collapsed="false" customFormat="false" customHeight="false" hidden="false" ht="14" outlineLevel="0" r="341">
      <c r="B341" s="298" t="str">
        <f aca="false">5_Produccion_Desagregada_09_10!$C$54</f>
        <v>Cuidados Criticos</v>
      </c>
      <c r="C341" s="299"/>
      <c r="D341" s="300" t="n">
        <f aca="false">SUM(D342:D344)</f>
        <v>73057</v>
      </c>
      <c r="E341" s="299" t="inlineStr">
        <f aca="false">SUM(E342:E344)</f>
        <is>
          <t/>
        </is>
      </c>
      <c r="F341" s="300" t="n">
        <f aca="false">SUM(F342:F344)</f>
        <v>1642</v>
      </c>
      <c r="G341" s="301"/>
    </row>
    <row collapsed="false" customFormat="false" customHeight="false" hidden="false" ht="14" outlineLevel="0" r="342">
      <c r="B342" s="289" t="str">
        <f aca="false">5_Produccion_Desagregada_09_10!$C$55</f>
        <v>Unidad de Cuidados Intensivos</v>
      </c>
      <c r="C342" s="290" t="str">
        <f aca="false">C$317</f>
        <v>Recetas Despachadas</v>
      </c>
      <c r="D342" s="305" t="n">
        <v>45297</v>
      </c>
      <c r="E342" s="291" t="n">
        <f aca="false">IF(ISERROR(D342/$D$341),"",D342/$D$341)</f>
        <v>0.620022721984204</v>
      </c>
      <c r="F342" s="292" t="n">
        <f aca="false">5_Produccion_Desagregada_09_10!$F$55</f>
        <v>926</v>
      </c>
      <c r="G342" s="293" t="n">
        <f aca="false">IF(ISERROR(D342/F342),"",D342/F342)</f>
        <v>48.9168466522678</v>
      </c>
    </row>
    <row collapsed="false" customFormat="false" customHeight="false" hidden="false" ht="14" outlineLevel="0" r="343">
      <c r="B343" s="289" t="str">
        <f aca="false">5_Produccion_Desagregada_09_10!$C$56</f>
        <v>Unidad de Cuidados Intermedios</v>
      </c>
      <c r="C343" s="290" t="str">
        <f aca="false">C$317</f>
        <v>Recetas Despachadas</v>
      </c>
      <c r="D343" s="305" t="n">
        <v>13286</v>
      </c>
      <c r="E343" s="291" t="n">
        <f aca="false">IF(ISERROR(D343/$D$341),"",D343/$D$341)</f>
        <v>0.181858001286667</v>
      </c>
      <c r="F343" s="292" t="n">
        <f aca="false">5_Produccion_Desagregada_09_10!$F$56</f>
        <v>247</v>
      </c>
      <c r="G343" s="293" t="n">
        <f aca="false">IF(ISERROR(D343/F343),"",D343/F343)</f>
        <v>53.7894736842105</v>
      </c>
    </row>
    <row collapsed="false" customFormat="false" customHeight="false" hidden="false" ht="14" outlineLevel="0" r="344">
      <c r="B344" s="302" t="str">
        <f aca="false">5_Produccion_Desagregada_09_10!$C$57</f>
        <v>Unidad de Cuidados Intensivos Neonatales</v>
      </c>
      <c r="C344" s="290" t="str">
        <f aca="false">C$317</f>
        <v>Recetas Despachadas</v>
      </c>
      <c r="D344" s="306" t="n">
        <v>14474</v>
      </c>
      <c r="E344" s="291" t="n">
        <f aca="false">IF(ISERROR(D344/$D$341),"",D344/$D$341)</f>
        <v>0.198119276729129</v>
      </c>
      <c r="F344" s="303" t="n">
        <f aca="false">5_Produccion_Desagregada_09_10!$F$57</f>
        <v>469</v>
      </c>
      <c r="G344" s="304" t="n">
        <f aca="false">IF(ISERROR(D344/F344),"",D344/F344)</f>
        <v>30.8614072494669</v>
      </c>
    </row>
    <row collapsed="false" customFormat="false" customHeight="false" hidden="false" ht="30.55" outlineLevel="0" r="345">
      <c r="A345" s="269" t="n">
        <v>5.2</v>
      </c>
      <c r="B345" s="281" t="s">
        <v>465</v>
      </c>
      <c r="C345" s="282" t="s">
        <v>466</v>
      </c>
      <c r="D345" s="282" t="str">
        <f aca="false">"Cantidad "&amp;C345&amp;" 2010"</f>
        <v>Cantidad Preparados Fabricados 2010</v>
      </c>
      <c r="E345" s="282" t="str">
        <f aca="false">"Porcentaje "&amp;C345&amp;" 2010"</f>
        <v>Porcentaje Preparados Fabricados 2010</v>
      </c>
      <c r="F345" s="282" t="s">
        <v>447</v>
      </c>
      <c r="G345" s="283" t="str">
        <f aca="false">C345&amp;" por Servicio Final"</f>
        <v>Preparados Fabricados por Servicio Final</v>
      </c>
    </row>
    <row collapsed="false" customFormat="false" customHeight="false" hidden="false" ht="14" outlineLevel="0" r="346">
      <c r="B346" s="284" t="str">
        <f aca="false">5_Produccion_Desagregada_09_10!$C$5</f>
        <v>Servicios Ambulatorios</v>
      </c>
      <c r="C346" s="285"/>
      <c r="D346" s="286" t="n">
        <f aca="false">SUM(D347:D353)</f>
        <v>1786</v>
      </c>
      <c r="E346" s="287" t="inlineStr">
        <f aca="false">SUM(E347:E353)</f>
        <is>
          <t/>
        </is>
      </c>
      <c r="F346" s="286" t="n">
        <f aca="false">SUM(F348:F353)</f>
        <v>248597</v>
      </c>
      <c r="G346" s="288"/>
    </row>
    <row collapsed="false" customFormat="false" customHeight="false" hidden="false" ht="14" outlineLevel="0" r="347">
      <c r="B347" s="289" t="str">
        <f aca="false">5_Produccion_Desagregada_09_10!$C$7</f>
        <v>Consulta General </v>
      </c>
      <c r="C347" s="290" t="str">
        <f aca="false">C$345</f>
        <v>Preparados Fabricados</v>
      </c>
      <c r="D347" s="305" t="n">
        <v>0</v>
      </c>
      <c r="E347" s="291" t="n">
        <f aca="false">IF(ISERROR(D347/$D$346),"",D347/$D$346)</f>
        <v>0</v>
      </c>
      <c r="F347" s="292" t="n">
        <f aca="false">5_Produccion_Desagregada_09_10!$F$7</f>
        <v>0</v>
      </c>
      <c r="G347" s="293" t="str">
        <f aca="false">IF(ISERROR(D347/F347),"",D347/F347)</f>
        <v/>
      </c>
    </row>
    <row collapsed="false" customFormat="false" customHeight="false" hidden="false" ht="14" outlineLevel="0" r="348">
      <c r="B348" s="289" t="str">
        <f aca="false">5_Produccion_Desagregada_09_10!$C$9</f>
        <v>Consultas de Especializadades Básicas</v>
      </c>
      <c r="C348" s="290" t="str">
        <f aca="false">C$345</f>
        <v>Preparados Fabricados</v>
      </c>
      <c r="D348" s="305" t="n">
        <v>0</v>
      </c>
      <c r="E348" s="291" t="n">
        <f aca="false">IF(ISERROR(D348/$D$346),"",D348/$D$346)</f>
        <v>0</v>
      </c>
      <c r="F348" s="292" t="n">
        <f aca="false">5_Produccion_Desagregada_09_10!$F$9</f>
        <v>0</v>
      </c>
      <c r="G348" s="293" t="str">
        <f aca="false">IF(ISERROR(D348/F348),"",D348/F348)</f>
        <v/>
      </c>
    </row>
    <row collapsed="false" customFormat="false" customHeight="false" hidden="false" ht="14" outlineLevel="0" r="349">
      <c r="B349" s="289" t="str">
        <f aca="false">5_Produccion_Desagregada_09_10!$C$12</f>
        <v>Consultas de Sub Especializadades</v>
      </c>
      <c r="C349" s="290" t="str">
        <f aca="false">C$345</f>
        <v>Preparados Fabricados</v>
      </c>
      <c r="D349" s="305" t="n">
        <v>1028</v>
      </c>
      <c r="E349" s="291" t="n">
        <f aca="false">IF(ISERROR(D349/$D$346),"",D349/$D$346)</f>
        <v>0.57558790593505</v>
      </c>
      <c r="F349" s="292" t="n">
        <f aca="false">5_Produccion_Desagregada_09_10!$F$12</f>
        <v>207721</v>
      </c>
      <c r="G349" s="293" t="n">
        <f aca="false">IF(ISERROR(D349/F349),"",D349/F349)</f>
        <v>0.00494894594191247</v>
      </c>
    </row>
    <row collapsed="false" customFormat="false" customHeight="false" hidden="false" ht="14" outlineLevel="0" r="350">
      <c r="B350" s="289" t="str">
        <f aca="false">5_Produccion_Desagregada_09_10!$C$17</f>
        <v>Consultas de Emergencia de Medicina Interna Pediatrica</v>
      </c>
      <c r="C350" s="290" t="str">
        <f aca="false">C$345</f>
        <v>Preparados Fabricados</v>
      </c>
      <c r="D350" s="305" t="n">
        <v>758</v>
      </c>
      <c r="E350" s="291" t="n">
        <f aca="false">IF(ISERROR(D350/$D$346),"",D350/$D$346)</f>
        <v>0.42441209406495</v>
      </c>
      <c r="F350" s="292" t="n">
        <f aca="false">5_Produccion_Desagregada_09_10!$F$17</f>
        <v>9804</v>
      </c>
      <c r="G350" s="293" t="n">
        <f aca="false">IF(ISERROR(D350/F350),"",D350/F350)</f>
        <v>0.0773153814769482</v>
      </c>
    </row>
    <row collapsed="false" customFormat="false" customHeight="false" hidden="false" ht="14" outlineLevel="0" r="351">
      <c r="B351" s="289" t="str">
        <f aca="false">5_Produccion_Desagregada_09_10!$C$18</f>
        <v>Consultas de Emergencia de Cirugia General Pediatrica</v>
      </c>
      <c r="C351" s="290" t="str">
        <f aca="false">C$345</f>
        <v>Preparados Fabricados</v>
      </c>
      <c r="D351" s="305" t="n">
        <v>0</v>
      </c>
      <c r="E351" s="291" t="n">
        <f aca="false">IF(ISERROR(D351/$D$346),"",D351/$D$346)</f>
        <v>0</v>
      </c>
      <c r="F351" s="292" t="n">
        <f aca="false">5_Produccion_Desagregada_09_10!$F$18</f>
        <v>13464</v>
      </c>
      <c r="G351" s="293" t="n">
        <f aca="false">IF(ISERROR(D351/F351),"",D351/F351)</f>
        <v>0</v>
      </c>
    </row>
    <row collapsed="false" customFormat="false" customHeight="false" hidden="false" ht="14" outlineLevel="0" r="352">
      <c r="B352" s="289" t="str">
        <f aca="false">5_Produccion_Desagregada_09_10!$C$20</f>
        <v>Consulta de Odontologia General</v>
      </c>
      <c r="C352" s="290" t="str">
        <f aca="false">C$345</f>
        <v>Preparados Fabricados</v>
      </c>
      <c r="D352" s="305" t="n">
        <v>0</v>
      </c>
      <c r="E352" s="291" t="n">
        <f aca="false">IF(ISERROR(D352/$D$346),"",D352/$D$346)</f>
        <v>0</v>
      </c>
      <c r="F352" s="292" t="n">
        <f aca="false">5_Produccion_Desagregada_09_10!$F$20</f>
        <v>16487</v>
      </c>
      <c r="G352" s="293" t="n">
        <f aca="false">IF(ISERROR(D352/F352),"",D352/F352)</f>
        <v>0</v>
      </c>
    </row>
    <row collapsed="false" customFormat="false" customHeight="false" hidden="false" ht="14" outlineLevel="0" r="353">
      <c r="B353" s="289" t="str">
        <f aca="false">5_Produccion_Desagregada_09_10!$C$21</f>
        <v>Consulta de Ortodoncia</v>
      </c>
      <c r="C353" s="290" t="str">
        <f aca="false">C$345</f>
        <v>Preparados Fabricados</v>
      </c>
      <c r="D353" s="305" t="n">
        <v>0</v>
      </c>
      <c r="E353" s="291" t="n">
        <f aca="false">IF(ISERROR(D353/$D$346),"",D353/$D$346)</f>
        <v>0</v>
      </c>
      <c r="F353" s="292" t="n">
        <f aca="false">5_Produccion_Desagregada_09_10!$F$21</f>
        <v>1121</v>
      </c>
      <c r="G353" s="293" t="n">
        <f aca="false">IF(ISERROR(D353/F353),"",D353/F353)</f>
        <v>0</v>
      </c>
    </row>
    <row collapsed="false" customFormat="false" customHeight="false" hidden="false" ht="14" outlineLevel="0" r="354">
      <c r="B354" s="294" t="str">
        <f aca="false">5_Produccion_Desagregada_09_10!$C$32</f>
        <v>Servicios Hospitalarios </v>
      </c>
      <c r="C354" s="295"/>
      <c r="D354" s="296" t="n">
        <f aca="false">SUM(D355,D369)</f>
        <v>9551</v>
      </c>
      <c r="E354" s="295"/>
      <c r="F354" s="296" t="n">
        <f aca="false">SUM(F355,F369)</f>
        <v>16069</v>
      </c>
      <c r="G354" s="297"/>
    </row>
    <row collapsed="false" customFormat="false" customHeight="false" hidden="false" ht="14" outlineLevel="0" r="355">
      <c r="B355" s="298" t="str">
        <f aca="false">5_Produccion_Desagregada_09_10!$C$33</f>
        <v>Egresos</v>
      </c>
      <c r="C355" s="299"/>
      <c r="D355" s="300" t="n">
        <f aca="false">SUM(D356:D368)</f>
        <v>7910</v>
      </c>
      <c r="E355" s="299" t="inlineStr">
        <f aca="false">SUM(E356:E368)</f>
        <is>
          <t/>
        </is>
      </c>
      <c r="F355" s="300" t="n">
        <f aca="false">SUM(F356:F368)</f>
        <v>14427</v>
      </c>
      <c r="G355" s="301"/>
    </row>
    <row collapsed="false" customFormat="false" customHeight="false" hidden="false" ht="14" outlineLevel="0" r="356">
      <c r="B356" s="289" t="str">
        <f aca="false">5_Produccion_Desagregada_09_10!$C$35</f>
        <v>Medicina Interna </v>
      </c>
      <c r="C356" s="290" t="str">
        <f aca="false">C$345</f>
        <v>Preparados Fabricados</v>
      </c>
      <c r="D356" s="186" t="n">
        <v>493</v>
      </c>
      <c r="E356" s="291" t="n">
        <f aca="false">IF(ISERROR(D356/$D$355),"",D356/$D$355)</f>
        <v>0.0623261694058154</v>
      </c>
      <c r="F356" s="292" t="n">
        <f aca="false">5_Produccion_Desagregada_09_10!$F$35</f>
        <v>1106</v>
      </c>
      <c r="G356" s="293" t="n">
        <f aca="false">IF(ISERROR(D356/F356),"",D356/F356)</f>
        <v>0.445750452079566</v>
      </c>
    </row>
    <row collapsed="false" customFormat="false" customHeight="false" hidden="false" ht="14" outlineLevel="0" r="357">
      <c r="B357" s="289" t="str">
        <f aca="false">5_Produccion_Desagregada_09_10!$C$36</f>
        <v>Infectología</v>
      </c>
      <c r="C357" s="290" t="str">
        <f aca="false">C$345</f>
        <v>Preparados Fabricados</v>
      </c>
      <c r="D357" s="186" t="n">
        <v>506</v>
      </c>
      <c r="E357" s="291" t="n">
        <f aca="false">IF(ISERROR(D357/$D$355),"",D357/$D$355)</f>
        <v>0.0639696586599241</v>
      </c>
      <c r="F357" s="292" t="n">
        <f aca="false">5_Produccion_Desagregada_09_10!$F$36</f>
        <v>2282</v>
      </c>
      <c r="G357" s="293" t="n">
        <f aca="false">IF(ISERROR(D357/F357),"",D357/F357)</f>
        <v>0.221735319894829</v>
      </c>
    </row>
    <row collapsed="false" customFormat="false" customHeight="false" hidden="false" ht="14" outlineLevel="0" r="358">
      <c r="B358" s="289" t="str">
        <f aca="false">5_Produccion_Desagregada_09_10!$C$37</f>
        <v>Nefrología</v>
      </c>
      <c r="C358" s="290" t="str">
        <f aca="false">C$345</f>
        <v>Preparados Fabricados</v>
      </c>
      <c r="D358" s="186" t="n">
        <v>306</v>
      </c>
      <c r="E358" s="291" t="n">
        <f aca="false">IF(ISERROR(D358/$D$355),"",D358/$D$355)</f>
        <v>0.038685208596713</v>
      </c>
      <c r="F358" s="292" t="n">
        <f aca="false">5_Produccion_Desagregada_09_10!$F$37</f>
        <v>323</v>
      </c>
      <c r="G358" s="293" t="n">
        <f aca="false">IF(ISERROR(D358/F358),"",D358/F358)</f>
        <v>0.947368421052632</v>
      </c>
    </row>
    <row collapsed="false" customFormat="false" customHeight="false" hidden="false" ht="14" outlineLevel="0" r="359">
      <c r="B359" s="289" t="str">
        <f aca="false">5_Produccion_Desagregada_09_10!$C$38</f>
        <v>Hematología</v>
      </c>
      <c r="C359" s="290" t="str">
        <f aca="false">C$345</f>
        <v>Preparados Fabricados</v>
      </c>
      <c r="D359" s="186" t="n">
        <v>217</v>
      </c>
      <c r="E359" s="291" t="n">
        <f aca="false">IF(ISERROR(D359/$D$355),"",D359/$D$355)</f>
        <v>0.0274336283185841</v>
      </c>
      <c r="F359" s="292" t="n">
        <f aca="false">5_Produccion_Desagregada_09_10!$F$38</f>
        <v>958</v>
      </c>
      <c r="G359" s="293" t="n">
        <f aca="false">IF(ISERROR(D359/F359),"",D359/F359)</f>
        <v>0.226513569937369</v>
      </c>
    </row>
    <row collapsed="false" customFormat="false" customHeight="false" hidden="false" ht="14" outlineLevel="0" r="360">
      <c r="B360" s="289" t="str">
        <f aca="false">5_Produccion_Desagregada_09_10!$C$39</f>
        <v>Oncología</v>
      </c>
      <c r="C360" s="290" t="str">
        <f aca="false">C$345</f>
        <v>Preparados Fabricados</v>
      </c>
      <c r="D360" s="186" t="n">
        <v>2175</v>
      </c>
      <c r="E360" s="291" t="n">
        <f aca="false">IF(ISERROR(D360/$D$355),"",D360/$D$355)</f>
        <v>0.274968394437421</v>
      </c>
      <c r="F360" s="292" t="n">
        <f aca="false">5_Produccion_Desagregada_09_10!$F$39</f>
        <v>708</v>
      </c>
      <c r="G360" s="293" t="n">
        <f aca="false">IF(ISERROR(D360/F360),"",D360/F360)</f>
        <v>3.07203389830508</v>
      </c>
    </row>
    <row collapsed="false" customFormat="false" customHeight="false" hidden="false" ht="14" outlineLevel="0" r="361">
      <c r="B361" s="289" t="str">
        <f aca="false">5_Produccion_Desagregada_09_10!$C$40</f>
        <v>Neonatología</v>
      </c>
      <c r="C361" s="290" t="str">
        <f aca="false">C$345</f>
        <v>Preparados Fabricados</v>
      </c>
      <c r="D361" s="186" t="n">
        <v>981</v>
      </c>
      <c r="E361" s="291" t="n">
        <f aca="false">IF(ISERROR(D361/$D$355),"",D361/$D$355)</f>
        <v>0.124020227560051</v>
      </c>
      <c r="F361" s="292" t="n">
        <f aca="false">5_Produccion_Desagregada_09_10!$F$40</f>
        <v>711</v>
      </c>
      <c r="G361" s="293" t="n">
        <f aca="false">IF(ISERROR(D361/F361),"",D361/F361)</f>
        <v>1.37974683544304</v>
      </c>
    </row>
    <row collapsed="false" customFormat="false" customHeight="false" hidden="false" ht="14" outlineLevel="0" r="362">
      <c r="B362" s="289" t="str">
        <f aca="false">5_Produccion_Desagregada_09_10!$C$42</f>
        <v>Cirugía General</v>
      </c>
      <c r="C362" s="290" t="str">
        <f aca="false">C$345</f>
        <v>Preparados Fabricados</v>
      </c>
      <c r="D362" s="186" t="n">
        <v>642</v>
      </c>
      <c r="E362" s="291" t="n">
        <f aca="false">IF(ISERROR(D362/$D$355),"",D362/$D$355)</f>
        <v>0.0811630847029077</v>
      </c>
      <c r="F362" s="292" t="n">
        <f aca="false">5_Produccion_Desagregada_09_10!$F$42</f>
        <v>2410</v>
      </c>
      <c r="G362" s="293" t="n">
        <f aca="false">IF(ISERROR(D362/F362),"",D362/F362)</f>
        <v>0.266390041493776</v>
      </c>
    </row>
    <row collapsed="false" customFormat="false" customHeight="false" hidden="false" ht="14" outlineLevel="0" r="363">
      <c r="B363" s="289" t="str">
        <f aca="false">5_Produccion_Desagregada_09_10!$C$43</f>
        <v>Cirugía Plastica</v>
      </c>
      <c r="C363" s="290" t="str">
        <f aca="false">C$345</f>
        <v>Preparados Fabricados</v>
      </c>
      <c r="D363" s="186" t="n">
        <v>1563</v>
      </c>
      <c r="E363" s="291" t="n">
        <f aca="false">IF(ISERROR(D363/$D$355),"",D363/$D$355)</f>
        <v>0.197597977243995</v>
      </c>
      <c r="F363" s="292" t="n">
        <f aca="false">5_Produccion_Desagregada_09_10!$F$43</f>
        <v>962</v>
      </c>
      <c r="G363" s="293" t="n">
        <f aca="false">IF(ISERROR(D363/F363),"",D363/F363)</f>
        <v>1.62474012474012</v>
      </c>
    </row>
    <row collapsed="false" customFormat="false" customHeight="false" hidden="false" ht="14" outlineLevel="0" r="364">
      <c r="B364" s="289" t="str">
        <f aca="false">5_Produccion_Desagregada_09_10!$C$44</f>
        <v>Neurocirugía</v>
      </c>
      <c r="C364" s="290" t="str">
        <f aca="false">C$345</f>
        <v>Preparados Fabricados</v>
      </c>
      <c r="D364" s="186" t="n">
        <v>353</v>
      </c>
      <c r="E364" s="291" t="n">
        <f aca="false">IF(ISERROR(D364/$D$355),"",D364/$D$355)</f>
        <v>0.0446270543615676</v>
      </c>
      <c r="F364" s="292" t="n">
        <f aca="false">5_Produccion_Desagregada_09_10!$F$44</f>
        <v>1152</v>
      </c>
      <c r="G364" s="293" t="n">
        <f aca="false">IF(ISERROR(D364/F364),"",D364/F364)</f>
        <v>0.306423611111111</v>
      </c>
    </row>
    <row collapsed="false" customFormat="false" customHeight="false" hidden="false" ht="14" outlineLevel="0" r="365">
      <c r="B365" s="289" t="str">
        <f aca="false">5_Produccion_Desagregada_09_10!$C$45</f>
        <v>Oftalmología</v>
      </c>
      <c r="C365" s="290" t="str">
        <f aca="false">C$345</f>
        <v>Preparados Fabricados</v>
      </c>
      <c r="D365" s="186" t="n">
        <v>193</v>
      </c>
      <c r="E365" s="291" t="n">
        <f aca="false">IF(ISERROR(D365/$D$355),"",D365/$D$355)</f>
        <v>0.0243994943109987</v>
      </c>
      <c r="F365" s="292" t="n">
        <f aca="false">5_Produccion_Desagregada_09_10!$F$45</f>
        <v>905</v>
      </c>
      <c r="G365" s="293" t="n">
        <f aca="false">IF(ISERROR(D365/F365),"",D365/F365)</f>
        <v>0.213259668508287</v>
      </c>
    </row>
    <row collapsed="false" customFormat="false" customHeight="false" hidden="false" ht="14" outlineLevel="0" r="366">
      <c r="B366" s="289" t="str">
        <f aca="false">5_Produccion_Desagregada_09_10!$C$46</f>
        <v>Otorrinolaringología</v>
      </c>
      <c r="C366" s="290" t="str">
        <f aca="false">C$345</f>
        <v>Preparados Fabricados</v>
      </c>
      <c r="D366" s="186" t="n">
        <v>0</v>
      </c>
      <c r="E366" s="291" t="n">
        <f aca="false">IF(ISERROR(D366/$D$355),"",D366/$D$355)</f>
        <v>0</v>
      </c>
      <c r="F366" s="292" t="n">
        <f aca="false">5_Produccion_Desagregada_09_10!$F$46</f>
        <v>1131</v>
      </c>
      <c r="G366" s="293" t="n">
        <f aca="false">IF(ISERROR(D366/F366),"",D366/F366)</f>
        <v>0</v>
      </c>
    </row>
    <row collapsed="false" customFormat="false" customHeight="false" hidden="false" ht="14" outlineLevel="0" r="367">
      <c r="B367" s="289" t="str">
        <f aca="false">5_Produccion_Desagregada_09_10!$C$47</f>
        <v>Ortopedia</v>
      </c>
      <c r="C367" s="290" t="str">
        <f aca="false">C$345</f>
        <v>Preparados Fabricados</v>
      </c>
      <c r="D367" s="186" t="n">
        <v>380</v>
      </c>
      <c r="E367" s="291" t="n">
        <f aca="false">IF(ISERROR(D367/$D$355),"",D367/$D$355)</f>
        <v>0.0480404551201011</v>
      </c>
      <c r="F367" s="292" t="n">
        <f aca="false">5_Produccion_Desagregada_09_10!$F$47</f>
        <v>706</v>
      </c>
      <c r="G367" s="293" t="n">
        <f aca="false">IF(ISERROR(D367/F367),"",D367/F367)</f>
        <v>0.538243626062323</v>
      </c>
    </row>
    <row collapsed="false" customFormat="false" customHeight="false" hidden="false" ht="14" outlineLevel="0" r="368">
      <c r="B368" s="289" t="str">
        <f aca="false">5_Produccion_Desagregada_09_10!$C$48</f>
        <v>Otros Servicios (Convenios / BM / ISSS)</v>
      </c>
      <c r="C368" s="290" t="str">
        <f aca="false">C$345</f>
        <v>Preparados Fabricados</v>
      </c>
      <c r="D368" s="186" t="n">
        <v>101</v>
      </c>
      <c r="E368" s="291" t="n">
        <f aca="false">IF(ISERROR(D368/$D$355),"",D368/$D$355)</f>
        <v>0.0127686472819216</v>
      </c>
      <c r="F368" s="292" t="n">
        <f aca="false">5_Produccion_Desagregada_09_10!$F$48</f>
        <v>1073</v>
      </c>
      <c r="G368" s="293" t="n">
        <f aca="false">IF(ISERROR(D368/F368),"",D368/F368)</f>
        <v>0.0941286113699907</v>
      </c>
    </row>
    <row collapsed="false" customFormat="false" customHeight="false" hidden="false" ht="14" outlineLevel="0" r="369">
      <c r="B369" s="298" t="str">
        <f aca="false">5_Produccion_Desagregada_09_10!$C$54</f>
        <v>Cuidados Criticos</v>
      </c>
      <c r="C369" s="299"/>
      <c r="D369" s="300" t="n">
        <f aca="false">SUM(D370:D372)</f>
        <v>1641</v>
      </c>
      <c r="E369" s="299" t="inlineStr">
        <f aca="false">SUM(E370:E372)</f>
        <is>
          <t/>
        </is>
      </c>
      <c r="F369" s="300" t="n">
        <f aca="false">SUM(F370:F372)</f>
        <v>1642</v>
      </c>
      <c r="G369" s="301"/>
    </row>
    <row collapsed="false" customFormat="false" customHeight="false" hidden="false" ht="14" outlineLevel="0" r="370">
      <c r="B370" s="289" t="str">
        <f aca="false">5_Produccion_Desagregada_09_10!$C$55</f>
        <v>Unidad de Cuidados Intensivos</v>
      </c>
      <c r="C370" s="290" t="str">
        <f aca="false">C$345</f>
        <v>Preparados Fabricados</v>
      </c>
      <c r="D370" s="305" t="n">
        <v>1106</v>
      </c>
      <c r="E370" s="291" t="n">
        <f aca="false">IF(ISERROR(D370/$D$369),"",D370/$D$369)</f>
        <v>0.673979280926264</v>
      </c>
      <c r="F370" s="292" t="n">
        <f aca="false">5_Produccion_Desagregada_09_10!$F$55</f>
        <v>926</v>
      </c>
      <c r="G370" s="293" t="n">
        <f aca="false">IF(ISERROR(D370/F370),"",D370/F370)</f>
        <v>1.19438444924406</v>
      </c>
    </row>
    <row collapsed="false" customFormat="false" customHeight="false" hidden="false" ht="14" outlineLevel="0" r="371">
      <c r="B371" s="289" t="str">
        <f aca="false">5_Produccion_Desagregada_09_10!$C$56</f>
        <v>Unidad de Cuidados Intermedios</v>
      </c>
      <c r="C371" s="290" t="str">
        <f aca="false">C$345</f>
        <v>Preparados Fabricados</v>
      </c>
      <c r="D371" s="305" t="n">
        <v>535</v>
      </c>
      <c r="E371" s="291" t="n">
        <f aca="false">IF(ISERROR(D371/$D$369),"",D371/$D$369)</f>
        <v>0.326020719073735</v>
      </c>
      <c r="F371" s="292" t="n">
        <f aca="false">5_Produccion_Desagregada_09_10!$F$56</f>
        <v>247</v>
      </c>
      <c r="G371" s="293" t="n">
        <f aca="false">IF(ISERROR(D371/F371),"",D371/F371)</f>
        <v>2.16599190283401</v>
      </c>
    </row>
    <row collapsed="false" customFormat="false" customHeight="false" hidden="false" ht="14" outlineLevel="0" r="372">
      <c r="B372" s="302" t="str">
        <f aca="false">5_Produccion_Desagregada_09_10!$C$57</f>
        <v>Unidad de Cuidados Intensivos Neonatales</v>
      </c>
      <c r="C372" s="290" t="str">
        <f aca="false">C$345</f>
        <v>Preparados Fabricados</v>
      </c>
      <c r="D372" s="306"/>
      <c r="E372" s="291" t="n">
        <f aca="false">IF(ISERROR(D372/$D$369),"",D372/$D$369)</f>
        <v>0</v>
      </c>
      <c r="F372" s="303" t="n">
        <f aca="false">5_Produccion_Desagregada_09_10!$F$57</f>
        <v>469</v>
      </c>
      <c r="G372" s="304" t="n">
        <f aca="false">IF(ISERROR(D372/F372),"",D372/F372)</f>
        <v>0</v>
      </c>
    </row>
    <row collapsed="false" customFormat="false" customHeight="false" hidden="false" ht="30.55" outlineLevel="0" r="373">
      <c r="A373" s="269" t="n">
        <v>5.3</v>
      </c>
      <c r="B373" s="281" t="s">
        <v>467</v>
      </c>
      <c r="C373" s="282" t="s">
        <v>468</v>
      </c>
      <c r="D373" s="282" t="str">
        <f aca="false">"Cantidad "&amp;C373&amp;" 2010"</f>
        <v>Cantidad Preparados Nparenteral 2010</v>
      </c>
      <c r="E373" s="282" t="str">
        <f aca="false">"Porcentaje "&amp;C373&amp;" 2010"</f>
        <v>Porcentaje Preparados Nparenteral 2010</v>
      </c>
      <c r="F373" s="282" t="s">
        <v>447</v>
      </c>
      <c r="G373" s="283" t="str">
        <f aca="false">C373&amp;" por Servicio Final"</f>
        <v>Preparados Nparenteral por Servicio Final</v>
      </c>
    </row>
    <row collapsed="false" customFormat="false" customHeight="false" hidden="false" ht="14" outlineLevel="0" r="374">
      <c r="B374" s="284" t="str">
        <f aca="false">5_Produccion_Desagregada_09_10!$C$5</f>
        <v>Servicios Ambulatorios</v>
      </c>
      <c r="C374" s="285"/>
      <c r="D374" s="286" t="n">
        <f aca="false">SUM(D375:D381)</f>
        <v>77</v>
      </c>
      <c r="E374" s="287" t="inlineStr">
        <f aca="false">SUM(E375:E381)</f>
        <is>
          <t/>
        </is>
      </c>
      <c r="F374" s="286" t="n">
        <f aca="false">SUM(F376:F381)</f>
        <v>248597</v>
      </c>
      <c r="G374" s="288"/>
    </row>
    <row collapsed="false" customFormat="false" customHeight="false" hidden="false" ht="14" outlineLevel="0" r="375">
      <c r="B375" s="289" t="str">
        <f aca="false">5_Produccion_Desagregada_09_10!$C$7</f>
        <v>Consulta General </v>
      </c>
      <c r="C375" s="290" t="str">
        <f aca="false">C$373</f>
        <v>Preparados Nparenteral</v>
      </c>
      <c r="D375" s="183" t="n">
        <v>0</v>
      </c>
      <c r="E375" s="291" t="n">
        <f aca="false">IF(ISERROR(D384/$D$374),"",D384/$D$374)</f>
        <v>1.28571428571429</v>
      </c>
      <c r="F375" s="292" t="n">
        <f aca="false">5_Produccion_Desagregada_09_10!$F$7</f>
        <v>0</v>
      </c>
      <c r="G375" s="293" t="str">
        <f aca="false">IF(ISERROR(D384/F375),"",D384/F375)</f>
        <v/>
      </c>
    </row>
    <row collapsed="false" customFormat="false" customHeight="false" hidden="false" ht="14" outlineLevel="0" r="376">
      <c r="B376" s="289" t="str">
        <f aca="false">5_Produccion_Desagregada_09_10!$C$9</f>
        <v>Consultas de Especializadades Básicas</v>
      </c>
      <c r="C376" s="290" t="str">
        <f aca="false">C$373</f>
        <v>Preparados Nparenteral</v>
      </c>
      <c r="D376" s="183" t="n">
        <v>0</v>
      </c>
      <c r="E376" s="291" t="n">
        <f aca="false">IF(ISERROR(D385/$D$374),"",D385/$D$374)</f>
        <v>0.714285714285714</v>
      </c>
      <c r="F376" s="292" t="n">
        <f aca="false">5_Produccion_Desagregada_09_10!$F$9</f>
        <v>0</v>
      </c>
      <c r="G376" s="293" t="str">
        <f aca="false">IF(ISERROR(D385/F376),"",D385/F376)</f>
        <v/>
      </c>
    </row>
    <row collapsed="false" customFormat="false" customHeight="false" hidden="false" ht="14" outlineLevel="0" r="377">
      <c r="B377" s="289" t="str">
        <f aca="false">5_Produccion_Desagregada_09_10!$C$12</f>
        <v>Consultas de Sub Especializadades</v>
      </c>
      <c r="C377" s="290" t="str">
        <f aca="false">C$373</f>
        <v>Preparados Nparenteral</v>
      </c>
      <c r="D377" s="183" t="n">
        <v>77</v>
      </c>
      <c r="E377" s="291" t="n">
        <f aca="false">IF(ISERROR(D386/$D$374),"",D386/$D$374)</f>
        <v>0.454545454545455</v>
      </c>
      <c r="F377" s="292" t="n">
        <f aca="false">5_Produccion_Desagregada_09_10!$F$12</f>
        <v>207721</v>
      </c>
      <c r="G377" s="293" t="n">
        <f aca="false">IF(ISERROR(D386/F377),"",D386/F377)</f>
        <v>0.000168495241212973</v>
      </c>
    </row>
    <row collapsed="false" customFormat="false" customHeight="false" hidden="false" ht="14" outlineLevel="0" r="378">
      <c r="B378" s="289" t="str">
        <f aca="false">5_Produccion_Desagregada_09_10!$C$17</f>
        <v>Consultas de Emergencia de Medicina Interna Pediatrica</v>
      </c>
      <c r="C378" s="290" t="str">
        <f aca="false">C$373</f>
        <v>Preparados Nparenteral</v>
      </c>
      <c r="D378" s="183" t="n">
        <v>0</v>
      </c>
      <c r="E378" s="291" t="n">
        <f aca="false">IF(ISERROR(D387/$D$374),"",D387/$D$374)</f>
        <v>0.012987012987013</v>
      </c>
      <c r="F378" s="292" t="n">
        <f aca="false">5_Produccion_Desagregada_09_10!$F$17</f>
        <v>9804</v>
      </c>
      <c r="G378" s="293" t="n">
        <f aca="false">IF(ISERROR(D387/F378),"",D387/F378)</f>
        <v>0.000101999184006528</v>
      </c>
    </row>
    <row collapsed="false" customFormat="false" customHeight="false" hidden="false" ht="14" outlineLevel="0" r="379">
      <c r="B379" s="289" t="str">
        <f aca="false">5_Produccion_Desagregada_09_10!$C$18</f>
        <v>Consultas de Emergencia de Cirugia General Pediatrica</v>
      </c>
      <c r="C379" s="290" t="str">
        <f aca="false">C$373</f>
        <v>Preparados Nparenteral</v>
      </c>
      <c r="D379" s="183" t="n">
        <v>0</v>
      </c>
      <c r="E379" s="291" t="n">
        <f aca="false">IF(ISERROR(D388/$D$374),"",D388/$D$374)</f>
        <v>0.948051948051948</v>
      </c>
      <c r="F379" s="292" t="n">
        <f aca="false">5_Produccion_Desagregada_09_10!$F$18</f>
        <v>13464</v>
      </c>
      <c r="G379" s="293" t="n">
        <f aca="false">IF(ISERROR(D388/F379),"",D388/F379)</f>
        <v>0.00542186571598336</v>
      </c>
    </row>
    <row collapsed="false" customFormat="false" customHeight="false" hidden="false" ht="14" outlineLevel="0" r="380">
      <c r="B380" s="289" t="str">
        <f aca="false">5_Produccion_Desagregada_09_10!$C$20</f>
        <v>Consulta de Odontologia General</v>
      </c>
      <c r="C380" s="290" t="str">
        <f aca="false">C$373</f>
        <v>Preparados Nparenteral</v>
      </c>
      <c r="D380" s="183" t="n">
        <v>0</v>
      </c>
      <c r="E380" s="291" t="n">
        <f aca="false">IF(ISERROR(D389/$D$374),"",D389/$D$374)</f>
        <v>21.987012987013</v>
      </c>
      <c r="F380" s="292" t="n">
        <f aca="false">5_Produccion_Desagregada_09_10!$F$20</f>
        <v>16487</v>
      </c>
      <c r="G380" s="293" t="n">
        <f aca="false">IF(ISERROR(D389/F380),"",D389/F380)</f>
        <v>0.10268696548796</v>
      </c>
    </row>
    <row collapsed="false" customFormat="false" customHeight="false" hidden="false" ht="14" outlineLevel="0" r="381">
      <c r="B381" s="289" t="str">
        <f aca="false">5_Produccion_Desagregada_09_10!$C$21</f>
        <v>Consulta de Ortodoncia</v>
      </c>
      <c r="C381" s="290" t="str">
        <f aca="false">C$373</f>
        <v>Preparados Nparenteral</v>
      </c>
      <c r="D381" s="305" t="n">
        <v>0</v>
      </c>
      <c r="E381" s="291" t="n">
        <f aca="false">IF(ISERROR(D381/$D$374),"",D381/$D$374)</f>
        <v>0</v>
      </c>
      <c r="F381" s="292" t="n">
        <f aca="false">5_Produccion_Desagregada_09_10!$F$21</f>
        <v>1121</v>
      </c>
      <c r="G381" s="293" t="n">
        <f aca="false">IF(ISERROR(D381/F381),"",D381/F381)</f>
        <v>0</v>
      </c>
    </row>
    <row collapsed="false" customFormat="false" customHeight="false" hidden="false" ht="14" outlineLevel="0" r="382">
      <c r="B382" s="294" t="str">
        <f aca="false">5_Produccion_Desagregada_09_10!$C$32</f>
        <v>Servicios Hospitalarios </v>
      </c>
      <c r="C382" s="295"/>
      <c r="D382" s="296" t="n">
        <f aca="false">SUM(D383,D397)</f>
        <v>3911</v>
      </c>
      <c r="E382" s="295"/>
      <c r="F382" s="296" t="n">
        <f aca="false">SUM(F383,F397)</f>
        <v>16069</v>
      </c>
      <c r="G382" s="297"/>
    </row>
    <row collapsed="false" customFormat="false" customHeight="false" hidden="false" ht="14" outlineLevel="0" r="383">
      <c r="B383" s="298" t="str">
        <f aca="false">5_Produccion_Desagregada_09_10!$C$33</f>
        <v>Egresos</v>
      </c>
      <c r="C383" s="299"/>
      <c r="D383" s="300" t="n">
        <f aca="false">SUM(D384:D396)</f>
        <v>2205</v>
      </c>
      <c r="E383" s="299" t="inlineStr">
        <f aca="false">SUM(E384:E396)</f>
        <is>
          <t/>
        </is>
      </c>
      <c r="F383" s="300" t="n">
        <f aca="false">SUM(F384:F396)</f>
        <v>14427</v>
      </c>
      <c r="G383" s="301"/>
    </row>
    <row collapsed="false" customFormat="false" customHeight="false" hidden="false" ht="14" outlineLevel="0" r="384">
      <c r="B384" s="289" t="str">
        <f aca="false">5_Produccion_Desagregada_09_10!$C$35</f>
        <v>Medicina Interna </v>
      </c>
      <c r="C384" s="290" t="str">
        <f aca="false">C$373</f>
        <v>Preparados Nparenteral</v>
      </c>
      <c r="D384" s="305" t="n">
        <v>99</v>
      </c>
      <c r="E384" s="291" t="b">
        <f aca="false">IF(ISERROR(#REF!/$D$383),"",#REF!/$D$383)))</f>
        <v>1</v>
      </c>
      <c r="F384" s="292" t="n">
        <f aca="false">5_Produccion_Desagregada_09_10!$F$35</f>
        <v>1106</v>
      </c>
      <c r="G384" s="293" t="b">
        <f aca="false">IF(ISERROR(#REF!/F384),"",#REF!/F384)))</f>
        <v>1</v>
      </c>
    </row>
    <row collapsed="false" customFormat="false" customHeight="false" hidden="false" ht="14" outlineLevel="0" r="385">
      <c r="B385" s="289" t="str">
        <f aca="false">5_Produccion_Desagregada_09_10!$C$36</f>
        <v>Infectología</v>
      </c>
      <c r="C385" s="290" t="str">
        <f aca="false">C$373</f>
        <v>Preparados Nparenteral</v>
      </c>
      <c r="D385" s="305" t="n">
        <v>55</v>
      </c>
      <c r="E385" s="291" t="b">
        <f aca="false">IF(ISERROR(#REF!/$D$383),"",#REF!/$D$383)))</f>
        <v>1</v>
      </c>
      <c r="F385" s="292" t="n">
        <f aca="false">5_Produccion_Desagregada_09_10!$F$36</f>
        <v>2282</v>
      </c>
      <c r="G385" s="293" t="b">
        <f aca="false">IF(ISERROR(#REF!/F385),"",#REF!/F385)))</f>
        <v>1</v>
      </c>
    </row>
    <row collapsed="false" customFormat="false" customHeight="false" hidden="false" ht="14" outlineLevel="0" r="386">
      <c r="B386" s="289" t="str">
        <f aca="false">5_Produccion_Desagregada_09_10!$C$37</f>
        <v>Nefrología</v>
      </c>
      <c r="C386" s="290" t="str">
        <f aca="false">C$373</f>
        <v>Preparados Nparenteral</v>
      </c>
      <c r="D386" s="305" t="n">
        <v>35</v>
      </c>
      <c r="E386" s="291" t="b">
        <f aca="false">IF(ISERROR(#REF!/$D$383),"",#REF!/$D$383)))</f>
        <v>1</v>
      </c>
      <c r="F386" s="292" t="n">
        <f aca="false">5_Produccion_Desagregada_09_10!$F$37</f>
        <v>323</v>
      </c>
      <c r="G386" s="293" t="b">
        <f aca="false">IF(ISERROR(#REF!/F386),"",#REF!/F386)))</f>
        <v>1</v>
      </c>
    </row>
    <row collapsed="false" customFormat="false" customHeight="false" hidden="false" ht="14" outlineLevel="0" r="387">
      <c r="B387" s="289" t="str">
        <f aca="false">5_Produccion_Desagregada_09_10!$C$38</f>
        <v>Hematología</v>
      </c>
      <c r="C387" s="290" t="str">
        <f aca="false">C$373</f>
        <v>Preparados Nparenteral</v>
      </c>
      <c r="D387" s="305" t="n">
        <v>1</v>
      </c>
      <c r="E387" s="291" t="b">
        <f aca="false">IF(ISERROR(#REF!/$D$383),"",#REF!/$D$383)))</f>
        <v>1</v>
      </c>
      <c r="F387" s="292" t="n">
        <f aca="false">5_Produccion_Desagregada_09_10!$F$38</f>
        <v>958</v>
      </c>
      <c r="G387" s="293" t="b">
        <f aca="false">IF(ISERROR(#REF!/F387),"",#REF!/F387)))</f>
        <v>1</v>
      </c>
    </row>
    <row collapsed="false" customFormat="false" customHeight="false" hidden="false" ht="14" outlineLevel="0" r="388">
      <c r="B388" s="289" t="str">
        <f aca="false">5_Produccion_Desagregada_09_10!$C$39</f>
        <v>Oncología</v>
      </c>
      <c r="C388" s="290" t="str">
        <f aca="false">C$373</f>
        <v>Preparados Nparenteral</v>
      </c>
      <c r="D388" s="305" t="n">
        <v>73</v>
      </c>
      <c r="E388" s="291" t="b">
        <f aca="false">IF(ISERROR(#REF!/$D$383),"",#REF!/$D$383)))</f>
        <v>1</v>
      </c>
      <c r="F388" s="292" t="n">
        <f aca="false">5_Produccion_Desagregada_09_10!$F$39</f>
        <v>708</v>
      </c>
      <c r="G388" s="293" t="b">
        <f aca="false">IF(ISERROR(#REF!/F388),"",#REF!/F388)))</f>
        <v>1</v>
      </c>
    </row>
    <row collapsed="false" customFormat="false" customHeight="false" hidden="false" ht="14" outlineLevel="0" r="389">
      <c r="B389" s="289" t="str">
        <f aca="false">5_Produccion_Desagregada_09_10!$C$40</f>
        <v>Neonatología</v>
      </c>
      <c r="C389" s="290" t="str">
        <f aca="false">C$373</f>
        <v>Preparados Nparenteral</v>
      </c>
      <c r="D389" s="305" t="n">
        <v>1693</v>
      </c>
      <c r="E389" s="291" t="b">
        <f aca="false">IF(ISERROR(#REF!/$D$383),"",#REF!/$D$383)))</f>
        <v>1</v>
      </c>
      <c r="F389" s="292" t="n">
        <f aca="false">5_Produccion_Desagregada_09_10!$F$40</f>
        <v>711</v>
      </c>
      <c r="G389" s="293" t="b">
        <f aca="false">IF(ISERROR(#REF!/F389),"",#REF!/F389)))</f>
        <v>1</v>
      </c>
    </row>
    <row collapsed="false" customFormat="false" customHeight="false" hidden="false" ht="14" outlineLevel="0" r="390">
      <c r="B390" s="289" t="str">
        <f aca="false">5_Produccion_Desagregada_09_10!$C$42</f>
        <v>Cirugía General</v>
      </c>
      <c r="C390" s="290" t="str">
        <f aca="false">C$373</f>
        <v>Preparados Nparenteral</v>
      </c>
      <c r="D390" s="186" t="n">
        <v>249</v>
      </c>
      <c r="E390" s="291" t="n">
        <f aca="false">IF(ISERROR(D390/$D$383),"",D390/$D$383)</f>
        <v>0.112925170068027</v>
      </c>
      <c r="F390" s="292" t="n">
        <f aca="false">5_Produccion_Desagregada_09_10!$F$42</f>
        <v>2410</v>
      </c>
      <c r="G390" s="293" t="n">
        <f aca="false">IF(ISERROR(D390/F390),"",D390/F390)</f>
        <v>0.103319502074689</v>
      </c>
    </row>
    <row collapsed="false" customFormat="false" customHeight="false" hidden="false" ht="14" outlineLevel="0" r="391">
      <c r="B391" s="289" t="str">
        <f aca="false">5_Produccion_Desagregada_09_10!$C$43</f>
        <v>Cirugía Plastica</v>
      </c>
      <c r="C391" s="290" t="str">
        <f aca="false">C$373</f>
        <v>Preparados Nparenteral</v>
      </c>
      <c r="D391" s="186" t="n">
        <v>0</v>
      </c>
      <c r="E391" s="291" t="n">
        <f aca="false">IF(ISERROR(D391/$D$383),"",D391/$D$383)</f>
        <v>0</v>
      </c>
      <c r="F391" s="292" t="n">
        <f aca="false">5_Produccion_Desagregada_09_10!$F$43</f>
        <v>962</v>
      </c>
      <c r="G391" s="293" t="n">
        <f aca="false">IF(ISERROR(D391/F391),"",D391/F391)</f>
        <v>0</v>
      </c>
    </row>
    <row collapsed="false" customFormat="false" customHeight="false" hidden="false" ht="14" outlineLevel="0" r="392">
      <c r="B392" s="289" t="str">
        <f aca="false">5_Produccion_Desagregada_09_10!$C$44</f>
        <v>Neurocirugía</v>
      </c>
      <c r="C392" s="290" t="str">
        <f aca="false">C$373</f>
        <v>Preparados Nparenteral</v>
      </c>
      <c r="D392" s="186" t="n">
        <v>0</v>
      </c>
      <c r="E392" s="291" t="n">
        <f aca="false">IF(ISERROR(D392/$D$383),"",D392/$D$383)</f>
        <v>0</v>
      </c>
      <c r="F392" s="292" t="n">
        <f aca="false">5_Produccion_Desagregada_09_10!$F$44</f>
        <v>1152</v>
      </c>
      <c r="G392" s="293" t="n">
        <f aca="false">IF(ISERROR(D392/F392),"",D392/F392)</f>
        <v>0</v>
      </c>
    </row>
    <row collapsed="false" customFormat="false" customHeight="false" hidden="false" ht="14" outlineLevel="0" r="393">
      <c r="B393" s="289" t="str">
        <f aca="false">5_Produccion_Desagregada_09_10!$C$45</f>
        <v>Oftalmología</v>
      </c>
      <c r="C393" s="290" t="str">
        <f aca="false">C$373</f>
        <v>Preparados Nparenteral</v>
      </c>
      <c r="D393" s="186" t="n">
        <v>0</v>
      </c>
      <c r="E393" s="291" t="n">
        <f aca="false">IF(ISERROR(D393/$D$383),"",D393/$D$383)</f>
        <v>0</v>
      </c>
      <c r="F393" s="292" t="n">
        <f aca="false">5_Produccion_Desagregada_09_10!$F$45</f>
        <v>905</v>
      </c>
      <c r="G393" s="293" t="n">
        <f aca="false">IF(ISERROR(D393/F393),"",D393/F393)</f>
        <v>0</v>
      </c>
    </row>
    <row collapsed="false" customFormat="false" customHeight="false" hidden="false" ht="14" outlineLevel="0" r="394">
      <c r="B394" s="289" t="str">
        <f aca="false">5_Produccion_Desagregada_09_10!$C$46</f>
        <v>Otorrinolaringología</v>
      </c>
      <c r="C394" s="290" t="str">
        <f aca="false">C$373</f>
        <v>Preparados Nparenteral</v>
      </c>
      <c r="D394" s="186" t="n">
        <v>0</v>
      </c>
      <c r="E394" s="291" t="n">
        <f aca="false">IF(ISERROR(D394/$D$383),"",D394/$D$383)</f>
        <v>0</v>
      </c>
      <c r="F394" s="292" t="n">
        <f aca="false">5_Produccion_Desagregada_09_10!$F$46</f>
        <v>1131</v>
      </c>
      <c r="G394" s="293" t="n">
        <f aca="false">IF(ISERROR(D394/F394),"",D394/F394)</f>
        <v>0</v>
      </c>
    </row>
    <row collapsed="false" customFormat="false" customHeight="false" hidden="false" ht="14" outlineLevel="0" r="395">
      <c r="B395" s="289" t="str">
        <f aca="false">5_Produccion_Desagregada_09_10!$C$47</f>
        <v>Ortopedia</v>
      </c>
      <c r="C395" s="290" t="str">
        <f aca="false">C$373</f>
        <v>Preparados Nparenteral</v>
      </c>
      <c r="D395" s="186" t="n">
        <v>0</v>
      </c>
      <c r="E395" s="291" t="n">
        <f aca="false">IF(ISERROR(D395/$D$383),"",D395/$D$383)</f>
        <v>0</v>
      </c>
      <c r="F395" s="292" t="n">
        <f aca="false">5_Produccion_Desagregada_09_10!$F$47</f>
        <v>706</v>
      </c>
      <c r="G395" s="293" t="n">
        <f aca="false">IF(ISERROR(D395/F395),"",D395/F395)</f>
        <v>0</v>
      </c>
    </row>
    <row collapsed="false" customFormat="false" customHeight="false" hidden="false" ht="14" outlineLevel="0" r="396">
      <c r="B396" s="289" t="str">
        <f aca="false">5_Produccion_Desagregada_09_10!$C$48</f>
        <v>Otros Servicios (Convenios / BM / ISSS)</v>
      </c>
      <c r="C396" s="290" t="str">
        <f aca="false">C$373</f>
        <v>Preparados Nparenteral</v>
      </c>
      <c r="D396" s="186" t="n">
        <v>0</v>
      </c>
      <c r="E396" s="291" t="n">
        <f aca="false">IF(ISERROR(D396/$D$383),"",D396/$D$383)</f>
        <v>0</v>
      </c>
      <c r="F396" s="292" t="n">
        <f aca="false">5_Produccion_Desagregada_09_10!$F$48</f>
        <v>1073</v>
      </c>
      <c r="G396" s="293" t="n">
        <f aca="false">IF(ISERROR(D396/F396),"",D396/F396)</f>
        <v>0</v>
      </c>
    </row>
    <row collapsed="false" customFormat="false" customHeight="false" hidden="false" ht="14" outlineLevel="0" r="397">
      <c r="B397" s="298" t="str">
        <f aca="false">5_Produccion_Desagregada_09_10!$C$54</f>
        <v>Cuidados Criticos</v>
      </c>
      <c r="C397" s="299"/>
      <c r="D397" s="300" t="n">
        <f aca="false">SUM(D398:D400)</f>
        <v>1706</v>
      </c>
      <c r="E397" s="299" t="inlineStr">
        <f aca="false">SUM(E398:E400)</f>
        <is>
          <t/>
        </is>
      </c>
      <c r="F397" s="300" t="n">
        <f aca="false">SUM(F398:F400)</f>
        <v>1642</v>
      </c>
      <c r="G397" s="301"/>
    </row>
    <row collapsed="false" customFormat="false" customHeight="false" hidden="false" ht="14" outlineLevel="0" r="398">
      <c r="B398" s="289" t="str">
        <f aca="false">5_Produccion_Desagregada_09_10!$C$55</f>
        <v>Unidad de Cuidados Intensivos</v>
      </c>
      <c r="C398" s="290" t="str">
        <f aca="false">C$373</f>
        <v>Preparados Nparenteral</v>
      </c>
      <c r="D398" s="305" t="n">
        <v>276</v>
      </c>
      <c r="E398" s="291" t="n">
        <f aca="false">IF(ISERROR(D398/$D$397),"",D398/$D$397)</f>
        <v>0.161781946072685</v>
      </c>
      <c r="F398" s="292" t="n">
        <f aca="false">5_Produccion_Desagregada_09_10!$F$55</f>
        <v>926</v>
      </c>
      <c r="G398" s="293" t="n">
        <f aca="false">IF(ISERROR(D398/F398),"",D398/F398)</f>
        <v>0.298056155507559</v>
      </c>
    </row>
    <row collapsed="false" customFormat="false" customHeight="false" hidden="false" ht="14" outlineLevel="0" r="399">
      <c r="B399" s="289" t="str">
        <f aca="false">5_Produccion_Desagregada_09_10!$C$56</f>
        <v>Unidad de Cuidados Intermedios</v>
      </c>
      <c r="C399" s="290" t="str">
        <f aca="false">C$373</f>
        <v>Preparados Nparenteral</v>
      </c>
      <c r="D399" s="305" t="n">
        <v>84</v>
      </c>
      <c r="E399" s="291" t="n">
        <f aca="false">IF(ISERROR(D399/$D$397),"",D399/$D$397)</f>
        <v>0.0492379835873388</v>
      </c>
      <c r="F399" s="292" t="n">
        <f aca="false">5_Produccion_Desagregada_09_10!$F$56</f>
        <v>247</v>
      </c>
      <c r="G399" s="293" t="n">
        <f aca="false">IF(ISERROR(D399/F399),"",D399/F399)</f>
        <v>0.340080971659919</v>
      </c>
    </row>
    <row collapsed="false" customFormat="false" customHeight="false" hidden="false" ht="14" outlineLevel="0" r="400">
      <c r="B400" s="302" t="str">
        <f aca="false">5_Produccion_Desagregada_09_10!$C$57</f>
        <v>Unidad de Cuidados Intensivos Neonatales</v>
      </c>
      <c r="C400" s="308" t="str">
        <f aca="false">C$373</f>
        <v>Preparados Nparenteral</v>
      </c>
      <c r="D400" s="306" t="n">
        <v>1346</v>
      </c>
      <c r="E400" s="309" t="n">
        <f aca="false">IF(ISERROR(D400/$D$397),"",D400/$D$397)</f>
        <v>0.788980070339977</v>
      </c>
      <c r="F400" s="303" t="n">
        <f aca="false">5_Produccion_Desagregada_09_10!$F$57</f>
        <v>469</v>
      </c>
      <c r="G400" s="304" t="n">
        <f aca="false">IF(ISERROR(D400/F400),"",D400/F400)</f>
        <v>2.86993603411514</v>
      </c>
    </row>
  </sheetData>
  <mergeCells count="2">
    <mergeCell ref="B2:G2"/>
    <mergeCell ref="F4:G4"/>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sheetPr filterMode="false">
    <pageSetUpPr fitToPage="false"/>
  </sheetPr>
  <dimension ref="A1:G178"/>
  <sheetViews>
    <sheetView colorId="64" defaultGridColor="true" rightToLeft="false" showFormulas="false" showGridLines="true" showOutlineSymbols="true" showRowColHeaders="true" showZeros="true" tabSelected="false" topLeftCell="B1" view="normal" windowProtection="false" workbookViewId="0" zoomScale="110" zoomScaleNormal="110" zoomScalePageLayoutView="100">
      <selection activeCell="D1" activeCellId="0" pane="topLeft" sqref="D1"/>
    </sheetView>
  </sheetViews>
  <cols>
    <col collapsed="false" hidden="false" max="1" min="1" style="310" width="3.44313725490196"/>
    <col collapsed="false" hidden="false" max="2" min="2" style="311" width="36.8666666666667"/>
    <col collapsed="false" hidden="false" max="3" min="3" style="311" width="15.2039215686275"/>
    <col collapsed="false" hidden="false" max="7" min="4" style="311" width="11.9019607843137"/>
    <col collapsed="false" hidden="false" max="257" min="8" style="311" width="11.4745098039216"/>
  </cols>
  <sheetData>
    <row collapsed="false" customFormat="false" customHeight="false" hidden="false" ht="14" outlineLevel="0" r="1">
      <c r="B1" s="312" t="s">
        <v>0</v>
      </c>
    </row>
    <row collapsed="false" customFormat="false" customHeight="false" hidden="false" ht="14" outlineLevel="0" r="2">
      <c r="B2" s="313" t="s">
        <v>469</v>
      </c>
    </row>
    <row collapsed="false" customFormat="true" customHeight="true" hidden="false" ht="23.25" outlineLevel="0" r="4" s="270">
      <c r="A4" s="269"/>
      <c r="B4" s="274" t="s">
        <v>439</v>
      </c>
      <c r="C4" s="275" t="s">
        <v>440</v>
      </c>
      <c r="D4" s="275" t="s">
        <v>441</v>
      </c>
      <c r="E4" s="275" t="s">
        <v>442</v>
      </c>
      <c r="F4" s="276" t="s">
        <v>443</v>
      </c>
      <c r="G4" s="276"/>
    </row>
    <row collapsed="false" customFormat="true" customHeight="false" hidden="false" ht="14" outlineLevel="0" r="5" s="270">
      <c r="A5" s="269" t="n">
        <v>1</v>
      </c>
      <c r="B5" s="277" t="s">
        <v>470</v>
      </c>
      <c r="C5" s="278"/>
      <c r="D5" s="279"/>
      <c r="E5" s="278"/>
      <c r="F5" s="278"/>
      <c r="G5" s="280"/>
    </row>
    <row collapsed="false" customFormat="true" customHeight="false" hidden="false" ht="20.85" outlineLevel="0" r="6" s="270">
      <c r="A6" s="269" t="n">
        <v>1.1</v>
      </c>
      <c r="B6" s="281" t="s">
        <v>471</v>
      </c>
      <c r="C6" s="282" t="s">
        <v>472</v>
      </c>
      <c r="D6" s="282" t="str">
        <f aca="false">"Cantidad "&amp;C6&amp;" 2010"</f>
        <v>Cantidad Ración 2010</v>
      </c>
      <c r="E6" s="282" t="str">
        <f aca="false">"Porcentaje "&amp;C6&amp;" 2010"</f>
        <v>Porcentaje Ración 2010</v>
      </c>
      <c r="F6" s="282" t="s">
        <v>447</v>
      </c>
      <c r="G6" s="283" t="str">
        <f aca="false">C6&amp;" por Servicio Final"</f>
        <v>Ración por Servicio Final</v>
      </c>
    </row>
    <row collapsed="false" customFormat="true" customHeight="false" hidden="false" ht="14" outlineLevel="0" r="7" s="270">
      <c r="A7" s="269"/>
      <c r="B7" s="294" t="str">
        <f aca="false">5_Produccion_Desagregada_09_10!$C$32</f>
        <v>Servicios Hospitalarios </v>
      </c>
      <c r="C7" s="295"/>
      <c r="D7" s="296" t="n">
        <f aca="false">SUM(D8,D22)</f>
        <v>45216</v>
      </c>
      <c r="E7" s="295"/>
      <c r="F7" s="296" t="n">
        <f aca="false">SUM(F8,F22)</f>
        <v>16069</v>
      </c>
      <c r="G7" s="297"/>
    </row>
    <row collapsed="false" customFormat="true" customHeight="false" hidden="false" ht="14" outlineLevel="0" r="8" s="270">
      <c r="A8" s="269"/>
      <c r="B8" s="298" t="str">
        <f aca="false">5_Produccion_Desagregada_09_10!$C$33</f>
        <v>Egresos</v>
      </c>
      <c r="C8" s="299"/>
      <c r="D8" s="300" t="n">
        <f aca="false">SUM(D9:D21)</f>
        <v>44480</v>
      </c>
      <c r="E8" s="299" t="inlineStr">
        <f aca="false">SUM(E9:E21)</f>
        <is>
          <t/>
        </is>
      </c>
      <c r="F8" s="300" t="n">
        <f aca="false">SUM(F9:F21)</f>
        <v>14427</v>
      </c>
      <c r="G8" s="301"/>
    </row>
    <row collapsed="false" customFormat="true" customHeight="false" hidden="false" ht="14" outlineLevel="0" r="9" s="270">
      <c r="A9" s="269"/>
      <c r="B9" s="289" t="str">
        <f aca="false">5_Produccion_Desagregada_09_10!$C$35</f>
        <v>Medicina Interna </v>
      </c>
      <c r="C9" s="290" t="str">
        <f aca="false">C$6</f>
        <v>Ración</v>
      </c>
      <c r="D9" s="186" t="n">
        <v>3763</v>
      </c>
      <c r="E9" s="291" t="n">
        <f aca="false">IF(ISERROR(D9/$D$8),"",D9/$D$8)</f>
        <v>0.0845998201438849</v>
      </c>
      <c r="F9" s="292" t="n">
        <f aca="false">5_Produccion_Desagregada_09_10!$F$35</f>
        <v>1106</v>
      </c>
      <c r="G9" s="293" t="n">
        <f aca="false">IF(ISERROR(D9/F9),"",D9/F9)</f>
        <v>3.40235081374322</v>
      </c>
    </row>
    <row collapsed="false" customFormat="true" customHeight="false" hidden="false" ht="14" outlineLevel="0" r="10" s="270">
      <c r="A10" s="269"/>
      <c r="B10" s="289" t="str">
        <f aca="false">5_Produccion_Desagregada_09_10!$C$36</f>
        <v>Infectología</v>
      </c>
      <c r="C10" s="290" t="str">
        <f aca="false">C$6</f>
        <v>Ración</v>
      </c>
      <c r="D10" s="186" t="n">
        <v>6876</v>
      </c>
      <c r="E10" s="291" t="n">
        <f aca="false">IF(ISERROR(D10/$D$8),"",D10/$D$8)</f>
        <v>0.154586330935252</v>
      </c>
      <c r="F10" s="292" t="n">
        <f aca="false">5_Produccion_Desagregada_09_10!$F$36</f>
        <v>2282</v>
      </c>
      <c r="G10" s="293" t="n">
        <f aca="false">IF(ISERROR(D10/F10),"",D10/F10)</f>
        <v>3.01314636283961</v>
      </c>
    </row>
    <row collapsed="false" customFormat="true" customHeight="false" hidden="false" ht="14" outlineLevel="0" r="11" s="270">
      <c r="A11" s="269"/>
      <c r="B11" s="289" t="str">
        <f aca="false">5_Produccion_Desagregada_09_10!$C$37</f>
        <v>Nefrología</v>
      </c>
      <c r="C11" s="290" t="str">
        <f aca="false">C$6</f>
        <v>Ración</v>
      </c>
      <c r="D11" s="186" t="n">
        <v>1681</v>
      </c>
      <c r="E11" s="291" t="n">
        <f aca="false">IF(ISERROR(D11/$D$8),"",D11/$D$8)</f>
        <v>0.0377922661870504</v>
      </c>
      <c r="F11" s="292" t="n">
        <f aca="false">5_Produccion_Desagregada_09_10!$F$37</f>
        <v>323</v>
      </c>
      <c r="G11" s="293" t="n">
        <f aca="false">IF(ISERROR(D11/F11),"",D11/F11)</f>
        <v>5.20433436532508</v>
      </c>
    </row>
    <row collapsed="false" customFormat="true" customHeight="false" hidden="false" ht="14" outlineLevel="0" r="12" s="270">
      <c r="A12" s="269"/>
      <c r="B12" s="289" t="str">
        <f aca="false">5_Produccion_Desagregada_09_10!$C$38</f>
        <v>Hematología</v>
      </c>
      <c r="C12" s="290" t="str">
        <f aca="false">C$6</f>
        <v>Ración</v>
      </c>
      <c r="D12" s="186" t="n">
        <v>4050</v>
      </c>
      <c r="E12" s="291" t="n">
        <f aca="false">IF(ISERROR(D12/$D$8),"",D12/$D$8)</f>
        <v>0.0910521582733813</v>
      </c>
      <c r="F12" s="292" t="n">
        <f aca="false">5_Produccion_Desagregada_09_10!$F$38</f>
        <v>958</v>
      </c>
      <c r="G12" s="293" t="n">
        <f aca="false">IF(ISERROR(D12/F12),"",D12/F12)</f>
        <v>4.22755741127349</v>
      </c>
    </row>
    <row collapsed="false" customFormat="true" customHeight="false" hidden="false" ht="14" outlineLevel="0" r="13" s="270">
      <c r="A13" s="269"/>
      <c r="B13" s="289" t="str">
        <f aca="false">5_Produccion_Desagregada_09_10!$C$39</f>
        <v>Oncología</v>
      </c>
      <c r="C13" s="290" t="str">
        <f aca="false">C$6</f>
        <v>Ración</v>
      </c>
      <c r="D13" s="186" t="n">
        <v>3633</v>
      </c>
      <c r="E13" s="291" t="n">
        <f aca="false">IF(ISERROR(D13/$D$8),"",D13/$D$8)</f>
        <v>0.0816771582733813</v>
      </c>
      <c r="F13" s="292" t="n">
        <f aca="false">5_Produccion_Desagregada_09_10!$F$39</f>
        <v>708</v>
      </c>
      <c r="G13" s="293" t="n">
        <f aca="false">IF(ISERROR(D13/F13),"",D13/F13)</f>
        <v>5.13135593220339</v>
      </c>
    </row>
    <row collapsed="false" customFormat="true" customHeight="false" hidden="false" ht="14" outlineLevel="0" r="14" s="270">
      <c r="A14" s="269"/>
      <c r="B14" s="289" t="str">
        <f aca="false">5_Produccion_Desagregada_09_10!$C$40</f>
        <v>Neonatología</v>
      </c>
      <c r="C14" s="290" t="str">
        <f aca="false">C$6</f>
        <v>Ración</v>
      </c>
      <c r="D14" s="186" t="n">
        <v>0</v>
      </c>
      <c r="E14" s="291" t="n">
        <f aca="false">IF(ISERROR(D14/$D$8),"",D14/$D$8)</f>
        <v>0</v>
      </c>
      <c r="F14" s="292" t="n">
        <f aca="false">5_Produccion_Desagregada_09_10!$F$40</f>
        <v>711</v>
      </c>
      <c r="G14" s="293" t="n">
        <f aca="false">IF(ISERROR(D14/F14),"",D14/F14)</f>
        <v>0</v>
      </c>
    </row>
    <row collapsed="false" customFormat="true" customHeight="false" hidden="false" ht="14" outlineLevel="0" r="15" s="270">
      <c r="A15" s="269"/>
      <c r="B15" s="289" t="str">
        <f aca="false">5_Produccion_Desagregada_09_10!$C$42</f>
        <v>Cirugía General</v>
      </c>
      <c r="C15" s="290" t="str">
        <f aca="false">C$6</f>
        <v>Ración</v>
      </c>
      <c r="D15" s="186" t="n">
        <v>4878</v>
      </c>
      <c r="E15" s="291" t="n">
        <f aca="false">IF(ISERROR(D15/$D$8),"",D15/$D$8)</f>
        <v>0.10966726618705</v>
      </c>
      <c r="F15" s="292" t="n">
        <f aca="false">5_Produccion_Desagregada_09_10!$F$42</f>
        <v>2410</v>
      </c>
      <c r="G15" s="293" t="n">
        <f aca="false">IF(ISERROR(D15/F15),"",D15/F15)</f>
        <v>2.02406639004149</v>
      </c>
    </row>
    <row collapsed="false" customFormat="true" customHeight="false" hidden="false" ht="14" outlineLevel="0" r="16" s="270">
      <c r="A16" s="269"/>
      <c r="B16" s="289" t="str">
        <f aca="false">5_Produccion_Desagregada_09_10!$C$43</f>
        <v>Cirugía Plastica</v>
      </c>
      <c r="C16" s="290" t="str">
        <f aca="false">C$6</f>
        <v>Ración</v>
      </c>
      <c r="D16" s="186" t="n">
        <v>4292</v>
      </c>
      <c r="E16" s="291" t="n">
        <f aca="false">IF(ISERROR(D16/$D$8),"",D16/$D$8)</f>
        <v>0.0964928057553957</v>
      </c>
      <c r="F16" s="292" t="n">
        <f aca="false">5_Produccion_Desagregada_09_10!$F$43</f>
        <v>962</v>
      </c>
      <c r="G16" s="293" t="n">
        <f aca="false">IF(ISERROR(D16/F16),"",D16/F16)</f>
        <v>4.46153846153846</v>
      </c>
    </row>
    <row collapsed="false" customFormat="true" customHeight="false" hidden="false" ht="14" outlineLevel="0" r="17" s="270">
      <c r="A17" s="269"/>
      <c r="B17" s="289" t="str">
        <f aca="false">5_Produccion_Desagregada_09_10!$C$44</f>
        <v>Neurocirugía</v>
      </c>
      <c r="C17" s="290" t="str">
        <f aca="false">C$6</f>
        <v>Ración</v>
      </c>
      <c r="D17" s="186" t="n">
        <v>3690</v>
      </c>
      <c r="E17" s="291" t="n">
        <f aca="false">IF(ISERROR(D17/$D$8),"",D17/$D$8)</f>
        <v>0.0829586330935252</v>
      </c>
      <c r="F17" s="292" t="n">
        <f aca="false">5_Produccion_Desagregada_09_10!$F$44</f>
        <v>1152</v>
      </c>
      <c r="G17" s="293" t="n">
        <f aca="false">IF(ISERROR(D17/F17),"",D17/F17)</f>
        <v>3.203125</v>
      </c>
    </row>
    <row collapsed="false" customFormat="true" customHeight="false" hidden="false" ht="14" outlineLevel="0" r="18" s="270">
      <c r="A18" s="269"/>
      <c r="B18" s="289" t="str">
        <f aca="false">5_Produccion_Desagregada_09_10!$C$45</f>
        <v>Oftalmología</v>
      </c>
      <c r="C18" s="290" t="str">
        <f aca="false">C$6</f>
        <v>Ración</v>
      </c>
      <c r="D18" s="186" t="n">
        <v>2134</v>
      </c>
      <c r="E18" s="291" t="n">
        <f aca="false">IF(ISERROR(D18/$D$8),"",D18/$D$8)</f>
        <v>0.047976618705036</v>
      </c>
      <c r="F18" s="292" t="n">
        <f aca="false">5_Produccion_Desagregada_09_10!$F$45</f>
        <v>905</v>
      </c>
      <c r="G18" s="293" t="n">
        <f aca="false">IF(ISERROR(D18/F18),"",D18/F18)</f>
        <v>2.35801104972376</v>
      </c>
    </row>
    <row collapsed="false" customFormat="true" customHeight="false" hidden="false" ht="14" outlineLevel="0" r="19" s="270">
      <c r="A19" s="269"/>
      <c r="B19" s="289" t="str">
        <f aca="false">5_Produccion_Desagregada_09_10!$C$46</f>
        <v>Otorrinolaringología</v>
      </c>
      <c r="C19" s="290" t="str">
        <f aca="false">C$6</f>
        <v>Ración</v>
      </c>
      <c r="D19" s="186" t="n">
        <v>2136</v>
      </c>
      <c r="E19" s="291" t="n">
        <f aca="false">IF(ISERROR(D19/$D$8),"",D19/$D$8)</f>
        <v>0.048021582733813</v>
      </c>
      <c r="F19" s="292" t="n">
        <f aca="false">5_Produccion_Desagregada_09_10!$F$46</f>
        <v>1131</v>
      </c>
      <c r="G19" s="293" t="n">
        <f aca="false">IF(ISERROR(D19/F19),"",D19/F19)</f>
        <v>1.88859416445623</v>
      </c>
    </row>
    <row collapsed="false" customFormat="true" customHeight="false" hidden="false" ht="14" outlineLevel="0" r="20" s="270">
      <c r="A20" s="269"/>
      <c r="B20" s="289" t="str">
        <f aca="false">5_Produccion_Desagregada_09_10!$C$47</f>
        <v>Ortopedia</v>
      </c>
      <c r="C20" s="290" t="str">
        <f aca="false">C$6</f>
        <v>Ración</v>
      </c>
      <c r="D20" s="186" t="n">
        <v>5071</v>
      </c>
      <c r="E20" s="291" t="n">
        <f aca="false">IF(ISERROR(D20/$D$8),"",D20/$D$8)</f>
        <v>0.114006294964029</v>
      </c>
      <c r="F20" s="292" t="n">
        <f aca="false">5_Produccion_Desagregada_09_10!$F$47</f>
        <v>706</v>
      </c>
      <c r="G20" s="293" t="n">
        <f aca="false">IF(ISERROR(D20/F20),"",D20/F20)</f>
        <v>7.18271954674221</v>
      </c>
    </row>
    <row collapsed="false" customFormat="true" customHeight="false" hidden="false" ht="14" outlineLevel="0" r="21" s="270">
      <c r="A21" s="269"/>
      <c r="B21" s="289" t="str">
        <f aca="false">5_Produccion_Desagregada_09_10!$C$48</f>
        <v>Otros Servicios (Convenios / BM / ISSS)</v>
      </c>
      <c r="C21" s="290" t="str">
        <f aca="false">C$6</f>
        <v>Ración</v>
      </c>
      <c r="D21" s="186" t="n">
        <v>2276</v>
      </c>
      <c r="E21" s="291" t="n">
        <f aca="false">IF(ISERROR(D21/$D$8),"",D21/$D$8)</f>
        <v>0.0511690647482014</v>
      </c>
      <c r="F21" s="292" t="n">
        <f aca="false">5_Produccion_Desagregada_09_10!$F$48</f>
        <v>1073</v>
      </c>
      <c r="G21" s="293" t="n">
        <f aca="false">IF(ISERROR(D21/F21),"",D21/F21)</f>
        <v>2.12115563839702</v>
      </c>
    </row>
    <row collapsed="false" customFormat="true" customHeight="false" hidden="false" ht="14" outlineLevel="0" r="22" s="270">
      <c r="A22" s="269"/>
      <c r="B22" s="298" t="str">
        <f aca="false">5_Produccion_Desagregada_09_10!$C$54</f>
        <v>Cuidados Criticos</v>
      </c>
      <c r="C22" s="299"/>
      <c r="D22" s="300" t="n">
        <f aca="false">SUM(D23:D25)</f>
        <v>736</v>
      </c>
      <c r="E22" s="299" t="inlineStr">
        <f aca="false">SUM(E23:E25)</f>
        <is>
          <t/>
        </is>
      </c>
      <c r="F22" s="300" t="n">
        <f aca="false">SUM(F23:F25)</f>
        <v>1642</v>
      </c>
      <c r="G22" s="301"/>
    </row>
    <row collapsed="false" customFormat="true" customHeight="false" hidden="false" ht="14" outlineLevel="0" r="23" s="270">
      <c r="A23" s="269"/>
      <c r="B23" s="289" t="str">
        <f aca="false">5_Produccion_Desagregada_09_10!$C$55</f>
        <v>Unidad de Cuidados Intensivos</v>
      </c>
      <c r="C23" s="290" t="str">
        <f aca="false">C$6</f>
        <v>Ración</v>
      </c>
      <c r="D23" s="305" t="n">
        <v>593</v>
      </c>
      <c r="E23" s="291" t="n">
        <f aca="false">IF(ISERROR(D23/$D$22),"",D23/$D$22)</f>
        <v>0.80570652173913</v>
      </c>
      <c r="F23" s="292" t="n">
        <f aca="false">5_Produccion_Desagregada_09_10!$F$55</f>
        <v>926</v>
      </c>
      <c r="G23" s="293" t="n">
        <f aca="false">IF(ISERROR(D23/F23),"",D23/F23)</f>
        <v>0.640388768898488</v>
      </c>
    </row>
    <row collapsed="false" customFormat="true" customHeight="false" hidden="false" ht="14" outlineLevel="0" r="24" s="270">
      <c r="A24" s="269"/>
      <c r="B24" s="289" t="str">
        <f aca="false">5_Produccion_Desagregada_09_10!$C$56</f>
        <v>Unidad de Cuidados Intermedios</v>
      </c>
      <c r="C24" s="290" t="str">
        <f aca="false">C$6</f>
        <v>Ración</v>
      </c>
      <c r="D24" s="305" t="n">
        <v>143</v>
      </c>
      <c r="E24" s="291" t="n">
        <f aca="false">IF(ISERROR(D24/$D$22),"",D24/$D$22)</f>
        <v>0.19429347826087</v>
      </c>
      <c r="F24" s="292" t="n">
        <f aca="false">5_Produccion_Desagregada_09_10!$F$56</f>
        <v>247</v>
      </c>
      <c r="G24" s="293" t="n">
        <f aca="false">IF(ISERROR(D24/F24),"",D24/F24)</f>
        <v>0.578947368421053</v>
      </c>
    </row>
    <row collapsed="false" customFormat="true" customHeight="false" hidden="false" ht="14" outlineLevel="0" r="25" s="270">
      <c r="A25" s="269"/>
      <c r="B25" s="302" t="str">
        <f aca="false">5_Produccion_Desagregada_09_10!$C$57</f>
        <v>Unidad de Cuidados Intensivos Neonatales</v>
      </c>
      <c r="C25" s="290" t="str">
        <f aca="false">C$6</f>
        <v>Ración</v>
      </c>
      <c r="D25" s="306" t="n">
        <v>0</v>
      </c>
      <c r="E25" s="291" t="n">
        <f aca="false">IF(ISERROR(D25/$D$22),"",D25/$D$22)</f>
        <v>0</v>
      </c>
      <c r="F25" s="303" t="n">
        <f aca="false">5_Produccion_Desagregada_09_10!$F$57</f>
        <v>469</v>
      </c>
      <c r="G25" s="304" t="n">
        <f aca="false">IF(ISERROR(D25/F25),"",D25/F25)</f>
        <v>0</v>
      </c>
    </row>
    <row collapsed="false" customFormat="true" customHeight="false" hidden="false" ht="30.55" outlineLevel="0" r="26" s="270">
      <c r="A26" s="269" t="n">
        <v>1.2</v>
      </c>
      <c r="B26" s="281" t="s">
        <v>473</v>
      </c>
      <c r="C26" s="282" t="s">
        <v>474</v>
      </c>
      <c r="D26" s="282" t="str">
        <f aca="false">"Cantidad "&amp;C26&amp;" 2010"</f>
        <v>Cantidad Ración Enteral 2010</v>
      </c>
      <c r="E26" s="282" t="str">
        <f aca="false">"Porcentaje "&amp;C26&amp;" 2010"</f>
        <v>Porcentaje Ración Enteral 2010</v>
      </c>
      <c r="F26" s="282" t="s">
        <v>447</v>
      </c>
      <c r="G26" s="283" t="str">
        <f aca="false">C26&amp;" por Servicio Final"</f>
        <v>Ración Enteral por Servicio Final</v>
      </c>
    </row>
    <row collapsed="false" customFormat="true" customHeight="false" hidden="false" ht="14" outlineLevel="0" r="27" s="270">
      <c r="A27" s="269"/>
      <c r="B27" s="294" t="str">
        <f aca="false">5_Produccion_Desagregada_09_10!$C$32</f>
        <v>Servicios Hospitalarios </v>
      </c>
      <c r="C27" s="295"/>
      <c r="D27" s="296" t="n">
        <f aca="false">SUM(D28,D42)</f>
        <v>37690</v>
      </c>
      <c r="E27" s="295"/>
      <c r="F27" s="296" t="n">
        <f aca="false">SUM(F28,F42)</f>
        <v>16069</v>
      </c>
      <c r="G27" s="297"/>
    </row>
    <row collapsed="false" customFormat="true" customHeight="false" hidden="false" ht="14" outlineLevel="0" r="28" s="270">
      <c r="A28" s="269"/>
      <c r="B28" s="298" t="str">
        <f aca="false">5_Produccion_Desagregada_09_10!$C$33</f>
        <v>Egresos</v>
      </c>
      <c r="C28" s="299"/>
      <c r="D28" s="300" t="n">
        <f aca="false">SUM(D29:D41)</f>
        <v>28028</v>
      </c>
      <c r="E28" s="299" t="inlineStr">
        <f aca="false">SUM(E29:E41)</f>
        <is>
          <t/>
        </is>
      </c>
      <c r="F28" s="300" t="n">
        <f aca="false">SUM(F29:F41)</f>
        <v>14427</v>
      </c>
      <c r="G28" s="301"/>
    </row>
    <row collapsed="false" customFormat="true" customHeight="false" hidden="false" ht="14" outlineLevel="0" r="29" s="270">
      <c r="A29" s="269"/>
      <c r="B29" s="289" t="str">
        <f aca="false">5_Produccion_Desagregada_09_10!$C$35</f>
        <v>Medicina Interna </v>
      </c>
      <c r="C29" s="290" t="str">
        <f aca="false">C$26</f>
        <v>Ración Enteral</v>
      </c>
      <c r="D29" s="186" t="n">
        <v>4239</v>
      </c>
      <c r="E29" s="291" t="n">
        <f aca="false">IF(ISERROR(D29/$D$28),"",D29/$D$28)</f>
        <v>0.15124161552733</v>
      </c>
      <c r="F29" s="292" t="n">
        <f aca="false">5_Produccion_Desagregada_09_10!$F$35</f>
        <v>1106</v>
      </c>
      <c r="G29" s="293" t="n">
        <f aca="false">IF(ISERROR(D29/F29),"",D29/F29)</f>
        <v>3.83273056057866</v>
      </c>
    </row>
    <row collapsed="false" customFormat="true" customHeight="false" hidden="false" ht="14" outlineLevel="0" r="30" s="270">
      <c r="A30" s="269"/>
      <c r="B30" s="289" t="str">
        <f aca="false">5_Produccion_Desagregada_09_10!$C$36</f>
        <v>Infectología</v>
      </c>
      <c r="C30" s="290" t="str">
        <f aca="false">C$26</f>
        <v>Ración Enteral</v>
      </c>
      <c r="D30" s="186" t="n">
        <v>5698</v>
      </c>
      <c r="E30" s="291" t="n">
        <f aca="false">IF(ISERROR(D30/$D$28),"",D30/$D$28)</f>
        <v>0.203296703296703</v>
      </c>
      <c r="F30" s="292" t="n">
        <f aca="false">5_Produccion_Desagregada_09_10!$F$36</f>
        <v>2282</v>
      </c>
      <c r="G30" s="293" t="n">
        <f aca="false">IF(ISERROR(D30/F30),"",D30/F30)</f>
        <v>2.49693251533742</v>
      </c>
    </row>
    <row collapsed="false" customFormat="true" customHeight="false" hidden="false" ht="14" outlineLevel="0" r="31" s="270">
      <c r="A31" s="269"/>
      <c r="B31" s="289" t="str">
        <f aca="false">5_Produccion_Desagregada_09_10!$C$37</f>
        <v>Nefrología</v>
      </c>
      <c r="C31" s="290" t="str">
        <f aca="false">C$26</f>
        <v>Ración Enteral</v>
      </c>
      <c r="D31" s="186" t="n">
        <v>829</v>
      </c>
      <c r="E31" s="291" t="n">
        <f aca="false">IF(ISERROR(D31/$D$28),"",D31/$D$28)</f>
        <v>0.029577565291851</v>
      </c>
      <c r="F31" s="292" t="n">
        <f aca="false">5_Produccion_Desagregada_09_10!$F$37</f>
        <v>323</v>
      </c>
      <c r="G31" s="293" t="n">
        <f aca="false">IF(ISERROR(D31/F31),"",D31/F31)</f>
        <v>2.56656346749226</v>
      </c>
    </row>
    <row collapsed="false" customFormat="true" customHeight="false" hidden="false" ht="14" outlineLevel="0" r="32" s="270">
      <c r="A32" s="269"/>
      <c r="B32" s="289" t="str">
        <f aca="false">5_Produccion_Desagregada_09_10!$C$38</f>
        <v>Hematología</v>
      </c>
      <c r="C32" s="290" t="str">
        <f aca="false">C$26</f>
        <v>Ración Enteral</v>
      </c>
      <c r="D32" s="186" t="n">
        <v>1792</v>
      </c>
      <c r="E32" s="291" t="n">
        <f aca="false">IF(ISERROR(D32/$D$28),"",D32/$D$28)</f>
        <v>0.0639360639360639</v>
      </c>
      <c r="F32" s="292" t="n">
        <f aca="false">5_Produccion_Desagregada_09_10!$F$38</f>
        <v>958</v>
      </c>
      <c r="G32" s="293" t="n">
        <f aca="false">IF(ISERROR(D32/F32),"",D32/F32)</f>
        <v>1.8705636743215</v>
      </c>
    </row>
    <row collapsed="false" customFormat="true" customHeight="false" hidden="false" ht="14" outlineLevel="0" r="33" s="270">
      <c r="A33" s="269"/>
      <c r="B33" s="289" t="str">
        <f aca="false">5_Produccion_Desagregada_09_10!$C$39</f>
        <v>Oncología</v>
      </c>
      <c r="C33" s="290" t="str">
        <f aca="false">C$26</f>
        <v>Ración Enteral</v>
      </c>
      <c r="D33" s="186" t="n">
        <v>903</v>
      </c>
      <c r="E33" s="291" t="n">
        <f aca="false">IF(ISERROR(D33/$D$28),"",D33/$D$28)</f>
        <v>0.0322177822177822</v>
      </c>
      <c r="F33" s="292" t="n">
        <f aca="false">5_Produccion_Desagregada_09_10!$F$39</f>
        <v>708</v>
      </c>
      <c r="G33" s="293" t="n">
        <f aca="false">IF(ISERROR(D33/F33),"",D33/F33)</f>
        <v>1.27542372881356</v>
      </c>
    </row>
    <row collapsed="false" customFormat="true" customHeight="false" hidden="false" ht="14" outlineLevel="0" r="34" s="270">
      <c r="A34" s="269"/>
      <c r="B34" s="289" t="str">
        <f aca="false">5_Produccion_Desagregada_09_10!$C$40</f>
        <v>Neonatología</v>
      </c>
      <c r="C34" s="290" t="str">
        <f aca="false">C$26</f>
        <v>Ración Enteral</v>
      </c>
      <c r="D34" s="186" t="n">
        <v>6227</v>
      </c>
      <c r="E34" s="291" t="n">
        <f aca="false">IF(ISERROR(D34/$D$28),"",D34/$D$28)</f>
        <v>0.222170686456401</v>
      </c>
      <c r="F34" s="292" t="n">
        <f aca="false">5_Produccion_Desagregada_09_10!$F$40</f>
        <v>711</v>
      </c>
      <c r="G34" s="293" t="n">
        <f aca="false">IF(ISERROR(D34/F34),"",D34/F34)</f>
        <v>8.75808720112518</v>
      </c>
    </row>
    <row collapsed="false" customFormat="true" customHeight="false" hidden="false" ht="14" outlineLevel="0" r="35" s="270">
      <c r="A35" s="269"/>
      <c r="B35" s="289" t="str">
        <f aca="false">5_Produccion_Desagregada_09_10!$C$42</f>
        <v>Cirugía General</v>
      </c>
      <c r="C35" s="290" t="str">
        <f aca="false">C$26</f>
        <v>Ración Enteral</v>
      </c>
      <c r="D35" s="186" t="n">
        <v>926</v>
      </c>
      <c r="E35" s="291" t="n">
        <f aca="false">IF(ISERROR(D35/$D$28),"",D35/$D$28)</f>
        <v>0.0330383901812473</v>
      </c>
      <c r="F35" s="292" t="n">
        <f aca="false">5_Produccion_Desagregada_09_10!$F$42</f>
        <v>2410</v>
      </c>
      <c r="G35" s="293" t="n">
        <f aca="false">IF(ISERROR(D35/F35),"",D35/F35)</f>
        <v>0.384232365145228</v>
      </c>
    </row>
    <row collapsed="false" customFormat="true" customHeight="false" hidden="false" ht="14" outlineLevel="0" r="36" s="270">
      <c r="A36" s="269"/>
      <c r="B36" s="289" t="str">
        <f aca="false">5_Produccion_Desagregada_09_10!$C$43</f>
        <v>Cirugía Plastica</v>
      </c>
      <c r="C36" s="290" t="str">
        <f aca="false">C$26</f>
        <v>Ración Enteral</v>
      </c>
      <c r="D36" s="186" t="n">
        <v>1483</v>
      </c>
      <c r="E36" s="291" t="n">
        <f aca="false">IF(ISERROR(D36/$D$28),"",D36/$D$28)</f>
        <v>0.0529113743399458</v>
      </c>
      <c r="F36" s="292" t="n">
        <f aca="false">5_Produccion_Desagregada_09_10!$F$43</f>
        <v>962</v>
      </c>
      <c r="G36" s="293" t="n">
        <f aca="false">IF(ISERROR(D36/F36),"",D36/F36)</f>
        <v>1.54158004158004</v>
      </c>
    </row>
    <row collapsed="false" customFormat="true" customHeight="false" hidden="false" ht="14" outlineLevel="0" r="37" s="270">
      <c r="A37" s="269"/>
      <c r="B37" s="289" t="str">
        <f aca="false">5_Produccion_Desagregada_09_10!$C$44</f>
        <v>Neurocirugía</v>
      </c>
      <c r="C37" s="290" t="str">
        <f aca="false">C$26</f>
        <v>Ración Enteral</v>
      </c>
      <c r="D37" s="186" t="n">
        <v>4207</v>
      </c>
      <c r="E37" s="291" t="n">
        <f aca="false">IF(ISERROR(D37/$D$28),"",D37/$D$28)</f>
        <v>0.1500999000999</v>
      </c>
      <c r="F37" s="292" t="n">
        <f aca="false">5_Produccion_Desagregada_09_10!$F$44</f>
        <v>1152</v>
      </c>
      <c r="G37" s="293" t="n">
        <f aca="false">IF(ISERROR(D37/F37),"",D37/F37)</f>
        <v>3.65190972222222</v>
      </c>
    </row>
    <row collapsed="false" customFormat="true" customHeight="false" hidden="false" ht="14" outlineLevel="0" r="38" s="270">
      <c r="A38" s="269"/>
      <c r="B38" s="289" t="str">
        <f aca="false">5_Produccion_Desagregada_09_10!$C$45</f>
        <v>Oftalmología</v>
      </c>
      <c r="C38" s="290" t="str">
        <f aca="false">C$26</f>
        <v>Ración Enteral</v>
      </c>
      <c r="D38" s="186" t="n">
        <v>654</v>
      </c>
      <c r="E38" s="291" t="n">
        <f aca="false">IF(ISERROR(D38/$D$28),"",D38/$D$28)</f>
        <v>0.0233338090480948</v>
      </c>
      <c r="F38" s="292" t="n">
        <f aca="false">5_Produccion_Desagregada_09_10!$F$45</f>
        <v>905</v>
      </c>
      <c r="G38" s="293" t="n">
        <f aca="false">IF(ISERROR(D38/F38),"",D38/F38)</f>
        <v>0.722651933701657</v>
      </c>
    </row>
    <row collapsed="false" customFormat="true" customHeight="false" hidden="false" ht="14" outlineLevel="0" r="39" s="270">
      <c r="A39" s="269"/>
      <c r="B39" s="289" t="str">
        <f aca="false">5_Produccion_Desagregada_09_10!$C$46</f>
        <v>Otorrinolaringología</v>
      </c>
      <c r="C39" s="290" t="str">
        <f aca="false">C$26</f>
        <v>Ración Enteral</v>
      </c>
      <c r="D39" s="186" t="n">
        <v>0</v>
      </c>
      <c r="E39" s="291" t="n">
        <f aca="false">IF(ISERROR(D39/$D$28),"",D39/$D$28)</f>
        <v>0</v>
      </c>
      <c r="F39" s="292" t="n">
        <f aca="false">5_Produccion_Desagregada_09_10!$F$46</f>
        <v>1131</v>
      </c>
      <c r="G39" s="293" t="n">
        <f aca="false">IF(ISERROR(D39/F39),"",D39/F39)</f>
        <v>0</v>
      </c>
    </row>
    <row collapsed="false" customFormat="true" customHeight="false" hidden="false" ht="14" outlineLevel="0" r="40" s="270">
      <c r="A40" s="269"/>
      <c r="B40" s="289" t="str">
        <f aca="false">5_Produccion_Desagregada_09_10!$C$47</f>
        <v>Ortopedia</v>
      </c>
      <c r="C40" s="290" t="str">
        <f aca="false">C$26</f>
        <v>Ración Enteral</v>
      </c>
      <c r="D40" s="186" t="n">
        <v>540</v>
      </c>
      <c r="E40" s="291" t="n">
        <f aca="false">IF(ISERROR(D40/$D$28),"",D40/$D$28)</f>
        <v>0.0192664478378764</v>
      </c>
      <c r="F40" s="292" t="n">
        <f aca="false">5_Produccion_Desagregada_09_10!$F$47</f>
        <v>706</v>
      </c>
      <c r="G40" s="293" t="n">
        <f aca="false">IF(ISERROR(D40/F40),"",D40/F40)</f>
        <v>0.764872521246459</v>
      </c>
    </row>
    <row collapsed="false" customFormat="true" customHeight="false" hidden="false" ht="14" outlineLevel="0" r="41" s="270">
      <c r="A41" s="269"/>
      <c r="B41" s="289" t="str">
        <f aca="false">5_Produccion_Desagregada_09_10!$C$48</f>
        <v>Otros Servicios (Convenios / BM / ISSS)</v>
      </c>
      <c r="C41" s="290" t="str">
        <f aca="false">C$26</f>
        <v>Ración Enteral</v>
      </c>
      <c r="D41" s="186" t="n">
        <v>530</v>
      </c>
      <c r="E41" s="291" t="n">
        <f aca="false">IF(ISERROR(D41/$D$28),"",D41/$D$28)</f>
        <v>0.0189096617668046</v>
      </c>
      <c r="F41" s="292" t="n">
        <f aca="false">5_Produccion_Desagregada_09_10!$F$48</f>
        <v>1073</v>
      </c>
      <c r="G41" s="293" t="n">
        <f aca="false">IF(ISERROR(D41/F41),"",D41/F41)</f>
        <v>0.493942218080149</v>
      </c>
    </row>
    <row collapsed="false" customFormat="true" customHeight="false" hidden="false" ht="14" outlineLevel="0" r="42" s="270">
      <c r="A42" s="269"/>
      <c r="B42" s="298" t="str">
        <f aca="false">5_Produccion_Desagregada_09_10!$C$54</f>
        <v>Cuidados Criticos</v>
      </c>
      <c r="C42" s="299"/>
      <c r="D42" s="300" t="n">
        <f aca="false">SUM(D43:D45)</f>
        <v>9662</v>
      </c>
      <c r="E42" s="299" t="inlineStr">
        <f aca="false">SUM(E43:E45)</f>
        <is>
          <t/>
        </is>
      </c>
      <c r="F42" s="300" t="n">
        <f aca="false">SUM(F43:F45)</f>
        <v>1642</v>
      </c>
      <c r="G42" s="301"/>
    </row>
    <row collapsed="false" customFormat="true" customHeight="false" hidden="false" ht="14" outlineLevel="0" r="43" s="270">
      <c r="A43" s="269"/>
      <c r="B43" s="289" t="str">
        <f aca="false">5_Produccion_Desagregada_09_10!$C$55</f>
        <v>Unidad de Cuidados Intensivos</v>
      </c>
      <c r="C43" s="290" t="str">
        <f aca="false">C$26</f>
        <v>Ración Enteral</v>
      </c>
      <c r="D43" s="305" t="n">
        <v>3786</v>
      </c>
      <c r="E43" s="291" t="n">
        <f aca="false">IF(ISERROR(D43/$D$42),"",D43/$D$42)</f>
        <v>0.391844338646243</v>
      </c>
      <c r="F43" s="292" t="n">
        <f aca="false">5_Produccion_Desagregada_09_10!$F$55</f>
        <v>926</v>
      </c>
      <c r="G43" s="293" t="n">
        <f aca="false">IF(ISERROR(D43/F43),"",D43/F43)</f>
        <v>4.08855291576674</v>
      </c>
    </row>
    <row collapsed="false" customFormat="true" customHeight="false" hidden="false" ht="14" outlineLevel="0" r="44" s="270">
      <c r="A44" s="269"/>
      <c r="B44" s="289" t="str">
        <f aca="false">5_Produccion_Desagregada_09_10!$C$56</f>
        <v>Unidad de Cuidados Intermedios</v>
      </c>
      <c r="C44" s="290" t="str">
        <f aca="false">C$26</f>
        <v>Ración Enteral</v>
      </c>
      <c r="D44" s="305" t="n">
        <v>4340</v>
      </c>
      <c r="E44" s="291" t="n">
        <f aca="false">IF(ISERROR(D44/$D$42),"",D44/$D$42)</f>
        <v>0.449182363899814</v>
      </c>
      <c r="F44" s="292" t="n">
        <f aca="false">5_Produccion_Desagregada_09_10!$F$56</f>
        <v>247</v>
      </c>
      <c r="G44" s="293" t="n">
        <f aca="false">IF(ISERROR(D44/F44),"",D44/F44)</f>
        <v>17.5708502024292</v>
      </c>
    </row>
    <row collapsed="false" customFormat="true" customHeight="false" hidden="false" ht="14" outlineLevel="0" r="45" s="270">
      <c r="A45" s="269"/>
      <c r="B45" s="302" t="str">
        <f aca="false">5_Produccion_Desagregada_09_10!$C$57</f>
        <v>Unidad de Cuidados Intensivos Neonatales</v>
      </c>
      <c r="C45" s="290" t="str">
        <f aca="false">C$26</f>
        <v>Ración Enteral</v>
      </c>
      <c r="D45" s="306" t="n">
        <v>1536</v>
      </c>
      <c r="E45" s="291" t="n">
        <f aca="false">IF(ISERROR(D45/$D$42),"",D45/$D$42)</f>
        <v>0.158973297453943</v>
      </c>
      <c r="F45" s="303" t="n">
        <f aca="false">5_Produccion_Desagregada_09_10!$F$57</f>
        <v>469</v>
      </c>
      <c r="G45" s="304" t="n">
        <f aca="false">IF(ISERROR(D45/F45),"",D45/F45)</f>
        <v>3.27505330490405</v>
      </c>
    </row>
    <row collapsed="false" customFormat="true" customHeight="false" hidden="false" ht="30.55" outlineLevel="0" r="46" s="270">
      <c r="A46" s="269" t="n">
        <v>1.3</v>
      </c>
      <c r="B46" s="281" t="s">
        <v>475</v>
      </c>
      <c r="C46" s="282" t="s">
        <v>476</v>
      </c>
      <c r="D46" s="282" t="str">
        <f aca="false">"Cantidad "&amp;C46&amp;" 2010"</f>
        <v>Cantidad Ración Infantil 2010</v>
      </c>
      <c r="E46" s="282" t="str">
        <f aca="false">"Porcentaje "&amp;C46&amp;" 2010"</f>
        <v>Porcentaje Ración Infantil 2010</v>
      </c>
      <c r="F46" s="282" t="s">
        <v>447</v>
      </c>
      <c r="G46" s="283" t="str">
        <f aca="false">C46&amp;" por Servicio Final"</f>
        <v>Ración Infantil por Servicio Final</v>
      </c>
    </row>
    <row collapsed="false" customFormat="true" customHeight="false" hidden="false" ht="14" outlineLevel="0" r="47" s="270">
      <c r="A47" s="269"/>
      <c r="B47" s="294" t="str">
        <f aca="false">5_Produccion_Desagregada_09_10!$C$32</f>
        <v>Servicios Hospitalarios </v>
      </c>
      <c r="C47" s="295"/>
      <c r="D47" s="296" t="n">
        <f aca="false">SUM(D48,D62)</f>
        <v>294065</v>
      </c>
      <c r="E47" s="295"/>
      <c r="F47" s="296" t="n">
        <f aca="false">SUM(F48,F62)</f>
        <v>16069</v>
      </c>
      <c r="G47" s="297"/>
    </row>
    <row collapsed="false" customFormat="true" customHeight="false" hidden="false" ht="14" outlineLevel="0" r="48" s="270">
      <c r="A48" s="269"/>
      <c r="B48" s="298" t="str">
        <f aca="false">5_Produccion_Desagregada_09_10!$C$33</f>
        <v>Egresos</v>
      </c>
      <c r="C48" s="299"/>
      <c r="D48" s="300" t="n">
        <f aca="false">SUM(D49:D61)</f>
        <v>245567</v>
      </c>
      <c r="E48" s="299" t="inlineStr">
        <f aca="false">SUM(E49:E61)</f>
        <is>
          <t/>
        </is>
      </c>
      <c r="F48" s="300" t="n">
        <f aca="false">SUM(F49:F61)</f>
        <v>14427</v>
      </c>
      <c r="G48" s="301"/>
    </row>
    <row collapsed="false" customFormat="true" customHeight="false" hidden="false" ht="14" outlineLevel="0" r="49" s="270">
      <c r="A49" s="269"/>
      <c r="B49" s="289" t="str">
        <f aca="false">5_Produccion_Desagregada_09_10!$C$35</f>
        <v>Medicina Interna </v>
      </c>
      <c r="C49" s="290" t="str">
        <f aca="false">C$46</f>
        <v>Ración Infantil</v>
      </c>
      <c r="D49" s="186" t="n">
        <v>25857</v>
      </c>
      <c r="E49" s="291" t="n">
        <f aca="false">IF(ISERROR(D49/$D$48),"",D49/$D$48)</f>
        <v>0.105295092581658</v>
      </c>
      <c r="F49" s="292" t="n">
        <f aca="false">5_Produccion_Desagregada_09_10!$F$35</f>
        <v>1106</v>
      </c>
      <c r="G49" s="293" t="n">
        <f aca="false">IF(ISERROR(D49/F49),"",D49/F49)</f>
        <v>23.378842676311</v>
      </c>
    </row>
    <row collapsed="false" customFormat="true" customHeight="false" hidden="false" ht="14" outlineLevel="0" r="50" s="270">
      <c r="A50" s="269"/>
      <c r="B50" s="289" t="str">
        <f aca="false">5_Produccion_Desagregada_09_10!$C$36</f>
        <v>Infectología</v>
      </c>
      <c r="C50" s="290" t="str">
        <f aca="false">C$46</f>
        <v>Ración Infantil</v>
      </c>
      <c r="D50" s="186" t="n">
        <v>46027</v>
      </c>
      <c r="E50" s="291" t="n">
        <f aca="false">IF(ISERROR(D50/$D$48),"",D50/$D$48)</f>
        <v>0.187431535996286</v>
      </c>
      <c r="F50" s="292" t="n">
        <f aca="false">5_Produccion_Desagregada_09_10!$F$36</f>
        <v>2282</v>
      </c>
      <c r="G50" s="293" t="n">
        <f aca="false">IF(ISERROR(D50/F50),"",D50/F50)</f>
        <v>20.169588080631</v>
      </c>
    </row>
    <row collapsed="false" customFormat="true" customHeight="false" hidden="false" ht="14" outlineLevel="0" r="51" s="270">
      <c r="A51" s="269"/>
      <c r="B51" s="289" t="str">
        <f aca="false">5_Produccion_Desagregada_09_10!$C$37</f>
        <v>Nefrología</v>
      </c>
      <c r="C51" s="290" t="str">
        <f aca="false">C$46</f>
        <v>Ración Infantil</v>
      </c>
      <c r="D51" s="186" t="n">
        <v>7732</v>
      </c>
      <c r="E51" s="291" t="n">
        <f aca="false">IF(ISERROR(D51/$D$48),"",D51/$D$48)</f>
        <v>0.031486315343674</v>
      </c>
      <c r="F51" s="292" t="n">
        <f aca="false">5_Produccion_Desagregada_09_10!$F$37</f>
        <v>323</v>
      </c>
      <c r="G51" s="293" t="n">
        <f aca="false">IF(ISERROR(D51/F51),"",D51/F51)</f>
        <v>23.938080495356</v>
      </c>
    </row>
    <row collapsed="false" customFormat="true" customHeight="false" hidden="false" ht="14" outlineLevel="0" r="52" s="270">
      <c r="A52" s="269"/>
      <c r="B52" s="289" t="str">
        <f aca="false">5_Produccion_Desagregada_09_10!$C$38</f>
        <v>Hematología</v>
      </c>
      <c r="C52" s="290" t="str">
        <f aca="false">C$46</f>
        <v>Ración Infantil</v>
      </c>
      <c r="D52" s="186" t="n">
        <v>19500</v>
      </c>
      <c r="E52" s="291" t="n">
        <f aca="false">IF(ISERROR(D52/$D$48),"",D52/$D$48)</f>
        <v>0.0794080637870724</v>
      </c>
      <c r="F52" s="292" t="n">
        <f aca="false">5_Produccion_Desagregada_09_10!$F$38</f>
        <v>958</v>
      </c>
      <c r="G52" s="293" t="n">
        <f aca="false">IF(ISERROR(D52/F52),"",D52/F52)</f>
        <v>20.3549060542797</v>
      </c>
    </row>
    <row collapsed="false" customFormat="true" customHeight="false" hidden="false" ht="14" outlineLevel="0" r="53" s="270">
      <c r="A53" s="269"/>
      <c r="B53" s="289" t="str">
        <f aca="false">5_Produccion_Desagregada_09_10!$C$39</f>
        <v>Oncología</v>
      </c>
      <c r="C53" s="290" t="str">
        <f aca="false">C$46</f>
        <v>Ración Infantil</v>
      </c>
      <c r="D53" s="186" t="n">
        <v>7816</v>
      </c>
      <c r="E53" s="291" t="n">
        <f aca="false">IF(ISERROR(D53/$D$48),"",D53/$D$48)</f>
        <v>0.0318283808492183</v>
      </c>
      <c r="F53" s="292" t="n">
        <f aca="false">5_Produccion_Desagregada_09_10!$F$39</f>
        <v>708</v>
      </c>
      <c r="G53" s="293" t="n">
        <f aca="false">IF(ISERROR(D53/F53),"",D53/F53)</f>
        <v>11.0395480225989</v>
      </c>
    </row>
    <row collapsed="false" customFormat="true" customHeight="false" hidden="false" ht="14" outlineLevel="0" r="54" s="270">
      <c r="A54" s="269"/>
      <c r="B54" s="289" t="str">
        <f aca="false">5_Produccion_Desagregada_09_10!$C$40</f>
        <v>Neonatología</v>
      </c>
      <c r="C54" s="290" t="str">
        <f aca="false">C$46</f>
        <v>Ración Infantil</v>
      </c>
      <c r="D54" s="186" t="n">
        <v>69189</v>
      </c>
      <c r="E54" s="291" t="n">
        <f aca="false">IF(ISERROR(D54/$D$48),"",D54/$D$48)</f>
        <v>0.281752026941731</v>
      </c>
      <c r="F54" s="292" t="n">
        <f aca="false">5_Produccion_Desagregada_09_10!$F$40</f>
        <v>711</v>
      </c>
      <c r="G54" s="293" t="n">
        <f aca="false">IF(ISERROR(D54/F54),"",D54/F54)</f>
        <v>97.3122362869198</v>
      </c>
    </row>
    <row collapsed="false" customFormat="true" customHeight="false" hidden="false" ht="14" outlineLevel="0" r="55" s="270">
      <c r="A55" s="269"/>
      <c r="B55" s="289" t="str">
        <f aca="false">5_Produccion_Desagregada_09_10!$C$42</f>
        <v>Cirugía General</v>
      </c>
      <c r="C55" s="290" t="str">
        <f aca="false">C$46</f>
        <v>Ración Infantil</v>
      </c>
      <c r="D55" s="186" t="n">
        <v>7521</v>
      </c>
      <c r="E55" s="291" t="n">
        <f aca="false">IF(ISERROR(D55/$D$48),"",D55/$D$48)</f>
        <v>0.0306270793714139</v>
      </c>
      <c r="F55" s="292" t="n">
        <f aca="false">5_Produccion_Desagregada_09_10!$F$42</f>
        <v>2410</v>
      </c>
      <c r="G55" s="293" t="n">
        <f aca="false">IF(ISERROR(D55/F55),"",D55/F55)</f>
        <v>3.1207468879668</v>
      </c>
    </row>
    <row collapsed="false" customFormat="true" customHeight="false" hidden="false" ht="14" outlineLevel="0" r="56" s="270">
      <c r="A56" s="269"/>
      <c r="B56" s="289" t="str">
        <f aca="false">5_Produccion_Desagregada_09_10!$C$43</f>
        <v>Cirugía Plastica</v>
      </c>
      <c r="C56" s="290" t="str">
        <f aca="false">C$46</f>
        <v>Ración Infantil</v>
      </c>
      <c r="D56" s="186" t="n">
        <v>9841</v>
      </c>
      <c r="E56" s="291" t="n">
        <f aca="false">IF(ISERROR(D56/$D$48),"",D56/$D$48)</f>
        <v>0.0400746028578759</v>
      </c>
      <c r="F56" s="292" t="n">
        <f aca="false">5_Produccion_Desagregada_09_10!$F$43</f>
        <v>962</v>
      </c>
      <c r="G56" s="293" t="n">
        <f aca="false">IF(ISERROR(D56/F56),"",D56/F56)</f>
        <v>10.2297297297297</v>
      </c>
    </row>
    <row collapsed="false" customFormat="true" customHeight="false" hidden="false" ht="14" outlineLevel="0" r="57" s="270">
      <c r="A57" s="269"/>
      <c r="B57" s="289" t="str">
        <f aca="false">5_Produccion_Desagregada_09_10!$C$44</f>
        <v>Neurocirugía</v>
      </c>
      <c r="C57" s="290" t="str">
        <f aca="false">C$46</f>
        <v>Ración Infantil</v>
      </c>
      <c r="D57" s="186" t="n">
        <v>32632</v>
      </c>
      <c r="E57" s="291" t="n">
        <f aca="false">IF(ISERROR(D57/$D$48),"",D57/$D$48)</f>
        <v>0.132884304487166</v>
      </c>
      <c r="F57" s="292" t="n">
        <f aca="false">5_Produccion_Desagregada_09_10!$F$44</f>
        <v>1152</v>
      </c>
      <c r="G57" s="293" t="n">
        <f aca="false">IF(ISERROR(D57/F57),"",D57/F57)</f>
        <v>28.3263888888889</v>
      </c>
    </row>
    <row collapsed="false" customFormat="true" customHeight="false" hidden="false" ht="14" outlineLevel="0" r="58" s="270">
      <c r="A58" s="269"/>
      <c r="B58" s="289" t="str">
        <f aca="false">5_Produccion_Desagregada_09_10!$C$45</f>
        <v>Oftalmología</v>
      </c>
      <c r="C58" s="290" t="str">
        <f aca="false">C$46</f>
        <v>Ración Infantil</v>
      </c>
      <c r="D58" s="186" t="n">
        <v>6304</v>
      </c>
      <c r="E58" s="291" t="n">
        <f aca="false">IF(ISERROR(D58/$D$48),"",D58/$D$48)</f>
        <v>0.0256712017494207</v>
      </c>
      <c r="F58" s="292" t="n">
        <f aca="false">5_Produccion_Desagregada_09_10!$F$45</f>
        <v>905</v>
      </c>
      <c r="G58" s="293" t="n">
        <f aca="false">IF(ISERROR(D58/F58),"",D58/F58)</f>
        <v>6.96574585635359</v>
      </c>
    </row>
    <row collapsed="false" customFormat="true" customHeight="false" hidden="false" ht="14" outlineLevel="0" r="59" s="270">
      <c r="A59" s="269"/>
      <c r="B59" s="289" t="str">
        <f aca="false">5_Produccion_Desagregada_09_10!$C$46</f>
        <v>Otorrinolaringología</v>
      </c>
      <c r="C59" s="290" t="str">
        <f aca="false">C$46</f>
        <v>Ración Infantil</v>
      </c>
      <c r="D59" s="186" t="n">
        <v>0</v>
      </c>
      <c r="E59" s="291" t="n">
        <f aca="false">IF(ISERROR(D59/$D$48),"",D59/$D$48)</f>
        <v>0</v>
      </c>
      <c r="F59" s="292" t="n">
        <f aca="false">5_Produccion_Desagregada_09_10!$F$46</f>
        <v>1131</v>
      </c>
      <c r="G59" s="293" t="n">
        <f aca="false">IF(ISERROR(D59/F59),"",D59/F59)</f>
        <v>0</v>
      </c>
    </row>
    <row collapsed="false" customFormat="true" customHeight="false" hidden="false" ht="14" outlineLevel="0" r="60" s="270">
      <c r="A60" s="269"/>
      <c r="B60" s="289" t="str">
        <f aca="false">5_Produccion_Desagregada_09_10!$C$47</f>
        <v>Ortopedia</v>
      </c>
      <c r="C60" s="290" t="str">
        <f aca="false">C$46</f>
        <v>Ración Infantil</v>
      </c>
      <c r="D60" s="186" t="n">
        <v>7853</v>
      </c>
      <c r="E60" s="291" t="n">
        <f aca="false">IF(ISERROR(D60/$D$48),"",D60/$D$48)</f>
        <v>0.0319790525599938</v>
      </c>
      <c r="F60" s="292" t="n">
        <f aca="false">5_Produccion_Desagregada_09_10!$F$47</f>
        <v>706</v>
      </c>
      <c r="G60" s="293" t="n">
        <f aca="false">IF(ISERROR(D60/F60),"",D60/F60)</f>
        <v>11.1232294617564</v>
      </c>
    </row>
    <row collapsed="false" customFormat="true" customHeight="false" hidden="false" ht="14" outlineLevel="0" r="61" s="270">
      <c r="A61" s="269"/>
      <c r="B61" s="289" t="str">
        <f aca="false">5_Produccion_Desagregada_09_10!$C$48</f>
        <v>Otros Servicios (Convenios / BM / ISSS)</v>
      </c>
      <c r="C61" s="290" t="str">
        <f aca="false">C$46</f>
        <v>Ración Infantil</v>
      </c>
      <c r="D61" s="186" t="n">
        <v>5295</v>
      </c>
      <c r="E61" s="291" t="n">
        <f aca="false">IF(ISERROR(D61/$D$48),"",D61/$D$48)</f>
        <v>0.0215623434744897</v>
      </c>
      <c r="F61" s="292" t="n">
        <f aca="false">5_Produccion_Desagregada_09_10!$F$48</f>
        <v>1073</v>
      </c>
      <c r="G61" s="293" t="n">
        <f aca="false">IF(ISERROR(D61/F61),"",D61/F61)</f>
        <v>4.93476234855545</v>
      </c>
    </row>
    <row collapsed="false" customFormat="true" customHeight="false" hidden="false" ht="14" outlineLevel="0" r="62" s="270">
      <c r="A62" s="269"/>
      <c r="B62" s="298" t="str">
        <f aca="false">5_Produccion_Desagregada_09_10!$C$54</f>
        <v>Cuidados Criticos</v>
      </c>
      <c r="C62" s="299"/>
      <c r="D62" s="300" t="n">
        <f aca="false">SUM(D63:D65)</f>
        <v>48498</v>
      </c>
      <c r="E62" s="299" t="inlineStr">
        <f aca="false">SUM(E63:E65)</f>
        <is>
          <t/>
        </is>
      </c>
      <c r="F62" s="300" t="n">
        <f aca="false">SUM(F63:F65)</f>
        <v>1642</v>
      </c>
      <c r="G62" s="301"/>
    </row>
    <row collapsed="false" customFormat="true" customHeight="false" hidden="false" ht="14" outlineLevel="0" r="63" s="270">
      <c r="A63" s="269"/>
      <c r="B63" s="289" t="str">
        <f aca="false">5_Produccion_Desagregada_09_10!$C$55</f>
        <v>Unidad de Cuidados Intensivos</v>
      </c>
      <c r="C63" s="290" t="str">
        <f aca="false">C$46</f>
        <v>Ración Infantil</v>
      </c>
      <c r="D63" s="305" t="n">
        <v>17790</v>
      </c>
      <c r="E63" s="291" t="n">
        <f aca="false">IF(ISERROR(D63/$D$62),"",D63/$D$62)</f>
        <v>0.366819250278362</v>
      </c>
      <c r="F63" s="292" t="n">
        <f aca="false">5_Produccion_Desagregada_09_10!$F$55</f>
        <v>926</v>
      </c>
      <c r="G63" s="293" t="n">
        <f aca="false">IF(ISERROR(D63/F63),"",D63/F63)</f>
        <v>19.2116630669546</v>
      </c>
    </row>
    <row collapsed="false" customFormat="true" customHeight="false" hidden="false" ht="14" outlineLevel="0" r="64" s="270">
      <c r="A64" s="269"/>
      <c r="B64" s="289" t="str">
        <f aca="false">5_Produccion_Desagregada_09_10!$C$56</f>
        <v>Unidad de Cuidados Intermedios</v>
      </c>
      <c r="C64" s="290" t="str">
        <f aca="false">C$46</f>
        <v>Ración Infantil</v>
      </c>
      <c r="D64" s="305" t="n">
        <v>12132</v>
      </c>
      <c r="E64" s="291" t="n">
        <f aca="false">IF(ISERROR(D64/$D$62),"",D64/$D$62)</f>
        <v>0.250154645552394</v>
      </c>
      <c r="F64" s="292" t="n">
        <f aca="false">5_Produccion_Desagregada_09_10!$F$56</f>
        <v>247</v>
      </c>
      <c r="G64" s="293" t="n">
        <f aca="false">IF(ISERROR(D64/F64),"",D64/F64)</f>
        <v>49.1174089068826</v>
      </c>
    </row>
    <row collapsed="false" customFormat="true" customHeight="false" hidden="false" ht="14" outlineLevel="0" r="65" s="270">
      <c r="A65" s="269"/>
      <c r="B65" s="302" t="str">
        <f aca="false">5_Produccion_Desagregada_09_10!$C$57</f>
        <v>Unidad de Cuidados Intensivos Neonatales</v>
      </c>
      <c r="C65" s="308" t="str">
        <f aca="false">C$46</f>
        <v>Ración Infantil</v>
      </c>
      <c r="D65" s="306" t="n">
        <v>18576</v>
      </c>
      <c r="E65" s="291" t="n">
        <f aca="false">IF(ISERROR(D65/$D$62),"",D65/$D$62)</f>
        <v>0.383026104169244</v>
      </c>
      <c r="F65" s="303" t="n">
        <f aca="false">5_Produccion_Desagregada_09_10!$F$57</f>
        <v>469</v>
      </c>
      <c r="G65" s="304" t="n">
        <f aca="false">IF(ISERROR(D65/F65),"",D65/F65)</f>
        <v>39.6076759061834</v>
      </c>
    </row>
    <row collapsed="false" customFormat="true" customHeight="false" hidden="false" ht="20.85" outlineLevel="0" r="66" s="270">
      <c r="A66" s="269" t="n">
        <v>2</v>
      </c>
      <c r="B66" s="277" t="s">
        <v>477</v>
      </c>
      <c r="C66" s="282" t="s">
        <v>478</v>
      </c>
      <c r="D66" s="282" t="str">
        <f aca="false">"Cantidad "&amp;C66&amp;" 2010"</f>
        <v>Cantidad Libras 2010</v>
      </c>
      <c r="E66" s="282" t="str">
        <f aca="false">"Porcentaje "&amp;C66&amp;" 2010"</f>
        <v>Porcentaje Libras 2010</v>
      </c>
      <c r="F66" s="282" t="s">
        <v>447</v>
      </c>
      <c r="G66" s="283" t="str">
        <f aca="false">C66&amp;" por Servicio Final"</f>
        <v>Libras por Servicio Final</v>
      </c>
    </row>
    <row collapsed="false" customFormat="true" customHeight="false" hidden="false" ht="14" outlineLevel="0" r="67" s="270">
      <c r="A67" s="269"/>
      <c r="B67" s="284" t="str">
        <f aca="false">5_Produccion_Desagregada_09_10!$C$5</f>
        <v>Servicios Ambulatorios</v>
      </c>
      <c r="C67" s="285"/>
      <c r="D67" s="286" t="n">
        <f aca="false">SUM(D68:D74)</f>
        <v>274506</v>
      </c>
      <c r="E67" s="287" t="inlineStr">
        <f aca="false">SUM(E68:E74)</f>
        <is>
          <t/>
        </is>
      </c>
      <c r="F67" s="286" t="n">
        <f aca="false">SUM(F69:F74)</f>
        <v>248597</v>
      </c>
      <c r="G67" s="288"/>
    </row>
    <row collapsed="false" customFormat="true" customHeight="false" hidden="false" ht="14" outlineLevel="0" r="68" s="270">
      <c r="A68" s="269"/>
      <c r="B68" s="289" t="str">
        <f aca="false">5_Produccion_Desagregada_09_10!$C$7</f>
        <v>Consulta General </v>
      </c>
      <c r="C68" s="290" t="str">
        <f aca="false">C$66</f>
        <v>Libras</v>
      </c>
      <c r="D68" s="305" t="n">
        <v>0</v>
      </c>
      <c r="E68" s="291" t="n">
        <f aca="false">IF(ISERROR(D68/$D$67),"",D68/$D$67)</f>
        <v>0</v>
      </c>
      <c r="F68" s="292" t="n">
        <f aca="false">5_Produccion_Desagregada_09_10!$F$7</f>
        <v>0</v>
      </c>
      <c r="G68" s="293" t="str">
        <f aca="false">IF(ISERROR(D68/F68),"",D68/F68)</f>
        <v/>
      </c>
    </row>
    <row collapsed="false" customFormat="true" customHeight="false" hidden="false" ht="14" outlineLevel="0" r="69" s="270">
      <c r="A69" s="269"/>
      <c r="B69" s="289" t="str">
        <f aca="false">5_Produccion_Desagregada_09_10!$C$9</f>
        <v>Consultas de Especializadades Básicas</v>
      </c>
      <c r="C69" s="290" t="str">
        <f aca="false">C$66</f>
        <v>Libras</v>
      </c>
      <c r="D69" s="305" t="n">
        <v>0</v>
      </c>
      <c r="E69" s="291" t="n">
        <f aca="false">IF(ISERROR(D69/$D$67),"",D69/$D$67)</f>
        <v>0</v>
      </c>
      <c r="F69" s="292" t="n">
        <f aca="false">5_Produccion_Desagregada_09_10!$F$9</f>
        <v>0</v>
      </c>
      <c r="G69" s="293" t="str">
        <f aca="false">IF(ISERROR(D69/F69),"",D69/F69)</f>
        <v/>
      </c>
    </row>
    <row collapsed="false" customFormat="true" customHeight="false" hidden="false" ht="14" outlineLevel="0" r="70" s="270">
      <c r="A70" s="269"/>
      <c r="B70" s="289" t="str">
        <f aca="false">5_Produccion_Desagregada_09_10!$C$12</f>
        <v>Consultas de Sub Especializadades</v>
      </c>
      <c r="C70" s="290" t="str">
        <f aca="false">C$66</f>
        <v>Libras</v>
      </c>
      <c r="D70" s="305" t="n">
        <f aca="false">176147+1680</f>
        <v>177827</v>
      </c>
      <c r="E70" s="291" t="n">
        <f aca="false">IF(ISERROR(D70/$D$67),"",D70/$D$67)</f>
        <v>0.647807333901627</v>
      </c>
      <c r="F70" s="292" t="n">
        <f aca="false">5_Produccion_Desagregada_09_10!$F$12</f>
        <v>207721</v>
      </c>
      <c r="G70" s="293" t="n">
        <f aca="false">IF(ISERROR(D70/F70),"",D70/F70)</f>
        <v>0.856085807405125</v>
      </c>
    </row>
    <row collapsed="false" customFormat="true" customHeight="false" hidden="false" ht="14" outlineLevel="0" r="71" s="270">
      <c r="A71" s="269"/>
      <c r="B71" s="289" t="str">
        <f aca="false">5_Produccion_Desagregada_09_10!$C$17</f>
        <v>Consultas de Emergencia de Medicina Interna Pediatrica</v>
      </c>
      <c r="C71" s="290" t="str">
        <f aca="false">C$66</f>
        <v>Libras</v>
      </c>
      <c r="D71" s="305" t="n">
        <v>96679</v>
      </c>
      <c r="E71" s="291" t="n">
        <f aca="false">IF(ISERROR(D71/$D$67),"",D71/$D$67)</f>
        <v>0.352192666098373</v>
      </c>
      <c r="F71" s="292" t="n">
        <f aca="false">5_Produccion_Desagregada_09_10!$F$17</f>
        <v>9804</v>
      </c>
      <c r="G71" s="293" t="n">
        <f aca="false">IF(ISERROR(D71/F71),"",D71/F71)</f>
        <v>9.86117911056712</v>
      </c>
    </row>
    <row collapsed="false" customFormat="true" customHeight="false" hidden="false" ht="14" outlineLevel="0" r="72" s="270">
      <c r="A72" s="269"/>
      <c r="B72" s="289" t="str">
        <f aca="false">5_Produccion_Desagregada_09_10!$C$18</f>
        <v>Consultas de Emergencia de Cirugia General Pediatrica</v>
      </c>
      <c r="C72" s="290" t="str">
        <f aca="false">C$66</f>
        <v>Libras</v>
      </c>
      <c r="D72" s="305" t="n">
        <v>0</v>
      </c>
      <c r="E72" s="291" t="n">
        <f aca="false">IF(ISERROR(D72/$D$67),"",D72/$D$67)</f>
        <v>0</v>
      </c>
      <c r="F72" s="292" t="n">
        <f aca="false">5_Produccion_Desagregada_09_10!$F$18</f>
        <v>13464</v>
      </c>
      <c r="G72" s="293" t="n">
        <f aca="false">IF(ISERROR(D72/F72),"",D72/F72)</f>
        <v>0</v>
      </c>
    </row>
    <row collapsed="false" customFormat="true" customHeight="false" hidden="false" ht="14" outlineLevel="0" r="73" s="270">
      <c r="A73" s="269"/>
      <c r="B73" s="289" t="str">
        <f aca="false">5_Produccion_Desagregada_09_10!$C$20</f>
        <v>Consulta de Odontologia General</v>
      </c>
      <c r="C73" s="290" t="str">
        <f aca="false">C$66</f>
        <v>Libras</v>
      </c>
      <c r="D73" s="305" t="n">
        <v>0</v>
      </c>
      <c r="E73" s="291" t="n">
        <f aca="false">IF(ISERROR(D73/$D$67),"",D73/$D$67)</f>
        <v>0</v>
      </c>
      <c r="F73" s="292" t="n">
        <f aca="false">5_Produccion_Desagregada_09_10!$F$20</f>
        <v>16487</v>
      </c>
      <c r="G73" s="293" t="n">
        <f aca="false">IF(ISERROR(D73/F73),"",D73/F73)</f>
        <v>0</v>
      </c>
    </row>
    <row collapsed="false" customFormat="true" customHeight="false" hidden="false" ht="14" outlineLevel="0" r="74" s="270">
      <c r="A74" s="269"/>
      <c r="B74" s="289" t="str">
        <f aca="false">5_Produccion_Desagregada_09_10!$C$21</f>
        <v>Consulta de Ortodoncia</v>
      </c>
      <c r="C74" s="290" t="str">
        <f aca="false">C$66</f>
        <v>Libras</v>
      </c>
      <c r="D74" s="305" t="n">
        <v>0</v>
      </c>
      <c r="E74" s="291" t="n">
        <f aca="false">IF(ISERROR(D74/$D$67),"",D74/$D$67)</f>
        <v>0</v>
      </c>
      <c r="F74" s="292" t="n">
        <f aca="false">5_Produccion_Desagregada_09_10!$F$21</f>
        <v>1121</v>
      </c>
      <c r="G74" s="293" t="n">
        <f aca="false">IF(ISERROR(D74/F74),"",D74/F74)</f>
        <v>0</v>
      </c>
    </row>
    <row collapsed="false" customFormat="true" customHeight="false" hidden="false" ht="14" outlineLevel="0" r="75" s="270">
      <c r="A75" s="269"/>
      <c r="B75" s="294" t="str">
        <f aca="false">5_Produccion_Desagregada_09_10!$C$32</f>
        <v>Servicios Hospitalarios </v>
      </c>
      <c r="C75" s="295"/>
      <c r="D75" s="296" t="n">
        <f aca="false">SUM(D76,D90)</f>
        <v>797319</v>
      </c>
      <c r="E75" s="295"/>
      <c r="F75" s="296" t="n">
        <f aca="false">SUM(F76,F90)</f>
        <v>16069</v>
      </c>
      <c r="G75" s="297"/>
    </row>
    <row collapsed="false" customFormat="true" customHeight="false" hidden="false" ht="14" outlineLevel="0" r="76" s="270">
      <c r="A76" s="269"/>
      <c r="B76" s="298" t="str">
        <f aca="false">5_Produccion_Desagregada_09_10!$C$33</f>
        <v>Egresos</v>
      </c>
      <c r="C76" s="299"/>
      <c r="D76" s="300" t="n">
        <f aca="false">SUM(D77:D89)</f>
        <v>643034</v>
      </c>
      <c r="E76" s="299" t="inlineStr">
        <f aca="false">SUM(E77:E89)</f>
        <is>
          <t/>
        </is>
      </c>
      <c r="F76" s="300" t="n">
        <f aca="false">SUM(F77:F89)</f>
        <v>14427</v>
      </c>
      <c r="G76" s="301"/>
    </row>
    <row collapsed="false" customFormat="true" customHeight="false" hidden="false" ht="14" outlineLevel="0" r="77" s="270">
      <c r="A77" s="269"/>
      <c r="B77" s="289" t="str">
        <f aca="false">5_Produccion_Desagregada_09_10!$C$35</f>
        <v>Medicina Interna </v>
      </c>
      <c r="C77" s="290" t="str">
        <f aca="false">C$66</f>
        <v>Libras</v>
      </c>
      <c r="D77" s="186" t="n">
        <v>45112</v>
      </c>
      <c r="E77" s="291" t="n">
        <f aca="false">IF(ISERROR(D77/$D$76),"",D77/$D$76)</f>
        <v>0.0701549218237294</v>
      </c>
      <c r="F77" s="292" t="n">
        <f aca="false">5_Produccion_Desagregada_09_10!$F$35</f>
        <v>1106</v>
      </c>
      <c r="G77" s="293" t="n">
        <f aca="false">IF(ISERROR(D77/F77),"",D77/F77)</f>
        <v>40.7884267631103</v>
      </c>
    </row>
    <row collapsed="false" customFormat="true" customHeight="false" hidden="false" ht="14" outlineLevel="0" r="78" s="270">
      <c r="A78" s="269"/>
      <c r="B78" s="289" t="str">
        <f aca="false">5_Produccion_Desagregada_09_10!$C$36</f>
        <v>Infectología</v>
      </c>
      <c r="C78" s="290" t="str">
        <f aca="false">C$66</f>
        <v>Libras</v>
      </c>
      <c r="D78" s="186" t="n">
        <v>109444</v>
      </c>
      <c r="E78" s="291" t="n">
        <f aca="false">IF(ISERROR(D78/$D$76),"",D78/$D$76)</f>
        <v>0.170199398476597</v>
      </c>
      <c r="F78" s="292" t="n">
        <f aca="false">5_Produccion_Desagregada_09_10!$F$36</f>
        <v>2282</v>
      </c>
      <c r="G78" s="293" t="n">
        <f aca="false">IF(ISERROR(D78/F78),"",D78/F78)</f>
        <v>47.9596844872919</v>
      </c>
    </row>
    <row collapsed="false" customFormat="true" customHeight="false" hidden="false" ht="14" outlineLevel="0" r="79" s="270">
      <c r="A79" s="269"/>
      <c r="B79" s="289" t="str">
        <f aca="false">5_Produccion_Desagregada_09_10!$C$37</f>
        <v>Nefrología</v>
      </c>
      <c r="C79" s="290" t="str">
        <f aca="false">C$66</f>
        <v>Libras</v>
      </c>
      <c r="D79" s="186" t="n">
        <v>21703</v>
      </c>
      <c r="E79" s="291" t="n">
        <f aca="false">IF(ISERROR(D79/$D$76),"",D79/$D$76)</f>
        <v>0.0337509369644529</v>
      </c>
      <c r="F79" s="292" t="n">
        <f aca="false">5_Produccion_Desagregada_09_10!$F$37</f>
        <v>323</v>
      </c>
      <c r="G79" s="293" t="n">
        <f aca="false">IF(ISERROR(D79/F79),"",D79/F79)</f>
        <v>67.1919504643963</v>
      </c>
    </row>
    <row collapsed="false" customFormat="true" customHeight="false" hidden="false" ht="14" outlineLevel="0" r="80" s="270">
      <c r="A80" s="269"/>
      <c r="B80" s="289" t="str">
        <f aca="false">5_Produccion_Desagregada_09_10!$C$38</f>
        <v>Hematología</v>
      </c>
      <c r="C80" s="290" t="str">
        <f aca="false">C$66</f>
        <v>Libras</v>
      </c>
      <c r="D80" s="186" t="n">
        <v>21703</v>
      </c>
      <c r="E80" s="291" t="n">
        <f aca="false">IF(ISERROR(D80/$D$76),"",D80/$D$76)</f>
        <v>0.0337509369644529</v>
      </c>
      <c r="F80" s="292" t="n">
        <f aca="false">5_Produccion_Desagregada_09_10!$F$38</f>
        <v>958</v>
      </c>
      <c r="G80" s="293" t="n">
        <f aca="false">IF(ISERROR(D80/F80),"",D80/F80)</f>
        <v>22.6544885177453</v>
      </c>
    </row>
    <row collapsed="false" customFormat="true" customHeight="false" hidden="false" ht="14" outlineLevel="0" r="81" s="270">
      <c r="A81" s="269"/>
      <c r="B81" s="289" t="str">
        <f aca="false">5_Produccion_Desagregada_09_10!$C$39</f>
        <v>Oncología</v>
      </c>
      <c r="C81" s="290" t="str">
        <f aca="false">C$66</f>
        <v>Libras</v>
      </c>
      <c r="D81" s="186" t="n">
        <v>65036</v>
      </c>
      <c r="E81" s="291" t="n">
        <f aca="false">IF(ISERROR(D81/$D$76),"",D81/$D$76)</f>
        <v>0.101139286569606</v>
      </c>
      <c r="F81" s="292" t="n">
        <f aca="false">5_Produccion_Desagregada_09_10!$F$39</f>
        <v>708</v>
      </c>
      <c r="G81" s="293" t="n">
        <f aca="false">IF(ISERROR(D81/F81),"",D81/F81)</f>
        <v>91.8587570621469</v>
      </c>
    </row>
    <row collapsed="false" customFormat="true" customHeight="false" hidden="false" ht="14" outlineLevel="0" r="82" s="270">
      <c r="A82" s="269"/>
      <c r="B82" s="289" t="str">
        <f aca="false">5_Produccion_Desagregada_09_10!$C$40</f>
        <v>Neonatología</v>
      </c>
      <c r="C82" s="290" t="str">
        <f aca="false">C$66</f>
        <v>Libras</v>
      </c>
      <c r="D82" s="186" t="n">
        <v>76407</v>
      </c>
      <c r="E82" s="291" t="n">
        <f aca="false">IF(ISERROR(D82/$D$76),"",D82/$D$76)</f>
        <v>0.118822643903744</v>
      </c>
      <c r="F82" s="292" t="n">
        <f aca="false">5_Produccion_Desagregada_09_10!$F$40</f>
        <v>711</v>
      </c>
      <c r="G82" s="293" t="n">
        <f aca="false">IF(ISERROR(D82/F82),"",D82/F82)</f>
        <v>107.464135021097</v>
      </c>
    </row>
    <row collapsed="false" customFormat="true" customHeight="false" hidden="false" ht="14" outlineLevel="0" r="83" s="270">
      <c r="A83" s="269"/>
      <c r="B83" s="289" t="str">
        <f aca="false">5_Produccion_Desagregada_09_10!$C$42</f>
        <v>Cirugía General</v>
      </c>
      <c r="C83" s="290" t="str">
        <f aca="false">C$66</f>
        <v>Libras</v>
      </c>
      <c r="D83" s="186" t="n">
        <v>60841</v>
      </c>
      <c r="E83" s="291" t="n">
        <f aca="false">IF(ISERROR(D83/$D$76),"",D83/$D$76)</f>
        <v>0.0946155257731317</v>
      </c>
      <c r="F83" s="292" t="n">
        <f aca="false">5_Produccion_Desagregada_09_10!$F$42</f>
        <v>2410</v>
      </c>
      <c r="G83" s="293" t="n">
        <f aca="false">IF(ISERROR(D83/F83),"",D83/F83)</f>
        <v>25.2452282157676</v>
      </c>
    </row>
    <row collapsed="false" customFormat="true" customHeight="false" hidden="false" ht="14" outlineLevel="0" r="84" s="270">
      <c r="A84" s="269"/>
      <c r="B84" s="289" t="str">
        <f aca="false">5_Produccion_Desagregada_09_10!$C$43</f>
        <v>Cirugía Plastica</v>
      </c>
      <c r="C84" s="290" t="str">
        <f aca="false">C$66</f>
        <v>Libras</v>
      </c>
      <c r="D84" s="186" t="n">
        <v>64844</v>
      </c>
      <c r="E84" s="291" t="n">
        <f aca="false">IF(ISERROR(D84/$D$76),"",D84/$D$76)</f>
        <v>0.100840702046859</v>
      </c>
      <c r="F84" s="292" t="n">
        <f aca="false">5_Produccion_Desagregada_09_10!$F$43</f>
        <v>962</v>
      </c>
      <c r="G84" s="293" t="n">
        <f aca="false">IF(ISERROR(D84/F84),"",D84/F84)</f>
        <v>67.4054054054054</v>
      </c>
    </row>
    <row collapsed="false" customFormat="true" customHeight="false" hidden="false" ht="14" outlineLevel="0" r="85" s="270">
      <c r="A85" s="269"/>
      <c r="B85" s="289" t="str">
        <f aca="false">5_Produccion_Desagregada_09_10!$C$44</f>
        <v>Neurocirugía</v>
      </c>
      <c r="C85" s="290" t="str">
        <f aca="false">C$66</f>
        <v>Libras</v>
      </c>
      <c r="D85" s="186" t="n">
        <v>51735</v>
      </c>
      <c r="E85" s="291" t="n">
        <f aca="false">IF(ISERROR(D85/$D$76),"",D85/$D$76)</f>
        <v>0.0804545327307732</v>
      </c>
      <c r="F85" s="292" t="n">
        <f aca="false">5_Produccion_Desagregada_09_10!$F$44</f>
        <v>1152</v>
      </c>
      <c r="G85" s="293" t="n">
        <f aca="false">IF(ISERROR(D85/F85),"",D85/F85)</f>
        <v>44.9088541666667</v>
      </c>
    </row>
    <row collapsed="false" customFormat="true" customHeight="false" hidden="false" ht="14" outlineLevel="0" r="86" s="270">
      <c r="A86" s="269"/>
      <c r="B86" s="289" t="str">
        <f aca="false">5_Produccion_Desagregada_09_10!$C$45</f>
        <v>Oftalmología</v>
      </c>
      <c r="C86" s="290" t="str">
        <f aca="false">C$66</f>
        <v>Libras</v>
      </c>
      <c r="D86" s="186" t="n">
        <v>22557</v>
      </c>
      <c r="E86" s="291" t="n">
        <f aca="false">IF(ISERROR(D86/$D$76),"",D86/$D$76)</f>
        <v>0.0350790160395873</v>
      </c>
      <c r="F86" s="292" t="n">
        <f aca="false">5_Produccion_Desagregada_09_10!$F$45</f>
        <v>905</v>
      </c>
      <c r="G86" s="293" t="n">
        <f aca="false">IF(ISERROR(D86/F86),"",D86/F86)</f>
        <v>24.924861878453</v>
      </c>
    </row>
    <row collapsed="false" customFormat="true" customHeight="false" hidden="false" ht="14" outlineLevel="0" r="87" s="270">
      <c r="A87" s="269"/>
      <c r="B87" s="289" t="str">
        <f aca="false">5_Produccion_Desagregada_09_10!$C$46</f>
        <v>Otorrinolaringología</v>
      </c>
      <c r="C87" s="290" t="str">
        <f aca="false">C$66</f>
        <v>Libras</v>
      </c>
      <c r="D87" s="186" t="n">
        <v>22557</v>
      </c>
      <c r="E87" s="291" t="n">
        <f aca="false">IF(ISERROR(D87/$D$76),"",D87/$D$76)</f>
        <v>0.0350790160395873</v>
      </c>
      <c r="F87" s="292" t="n">
        <f aca="false">5_Produccion_Desagregada_09_10!$F$46</f>
        <v>1131</v>
      </c>
      <c r="G87" s="293" t="n">
        <f aca="false">IF(ISERROR(D87/F87),"",D87/F87)</f>
        <v>19.9442970822281</v>
      </c>
    </row>
    <row collapsed="false" customFormat="true" customHeight="false" hidden="false" ht="14" outlineLevel="0" r="88" s="270">
      <c r="A88" s="269"/>
      <c r="B88" s="289" t="str">
        <f aca="false">5_Produccion_Desagregada_09_10!$C$47</f>
        <v>Ortopedia</v>
      </c>
      <c r="C88" s="290" t="str">
        <f aca="false">C$66</f>
        <v>Libras</v>
      </c>
      <c r="D88" s="186" t="n">
        <v>46137</v>
      </c>
      <c r="E88" s="291" t="n">
        <f aca="false">IF(ISERROR(D88/$D$76),"",D88/$D$76)</f>
        <v>0.0717489277394352</v>
      </c>
      <c r="F88" s="292" t="n">
        <f aca="false">5_Produccion_Desagregada_09_10!$F$47</f>
        <v>706</v>
      </c>
      <c r="G88" s="293" t="n">
        <f aca="false">IF(ISERROR(D88/F88),"",D88/F88)</f>
        <v>65.3498583569405</v>
      </c>
    </row>
    <row collapsed="false" customFormat="true" customHeight="false" hidden="false" ht="14" outlineLevel="0" r="89" s="270">
      <c r="A89" s="269"/>
      <c r="B89" s="289" t="str">
        <f aca="false">5_Produccion_Desagregada_09_10!$C$48</f>
        <v>Otros Servicios (Convenios / BM / ISSS)</v>
      </c>
      <c r="C89" s="290" t="str">
        <f aca="false">C$66</f>
        <v>Libras</v>
      </c>
      <c r="D89" s="186" t="n">
        <v>34958</v>
      </c>
      <c r="E89" s="291" t="n">
        <f aca="false">IF(ISERROR(D89/$D$76),"",D89/$D$76)</f>
        <v>0.0543641549280442</v>
      </c>
      <c r="F89" s="292" t="n">
        <f aca="false">5_Produccion_Desagregada_09_10!$F$48</f>
        <v>1073</v>
      </c>
      <c r="G89" s="293" t="n">
        <f aca="false">IF(ISERROR(D89/F89),"",D89/F89)</f>
        <v>32.5796831314073</v>
      </c>
    </row>
    <row collapsed="false" customFormat="true" customHeight="false" hidden="false" ht="14" outlineLevel="0" r="90" s="270">
      <c r="A90" s="269"/>
      <c r="B90" s="298" t="str">
        <f aca="false">5_Produccion_Desagregada_09_10!$C$54</f>
        <v>Cuidados Criticos</v>
      </c>
      <c r="C90" s="299"/>
      <c r="D90" s="300" t="n">
        <f aca="false">SUM(D91:D93)</f>
        <v>154285</v>
      </c>
      <c r="E90" s="299" t="inlineStr">
        <f aca="false">SUM(E91:E93)</f>
        <is>
          <t/>
        </is>
      </c>
      <c r="F90" s="300" t="n">
        <f aca="false">SUM(F91:F93)</f>
        <v>1642</v>
      </c>
      <c r="G90" s="301"/>
    </row>
    <row collapsed="false" customFormat="true" customHeight="false" hidden="false" ht="14" outlineLevel="0" r="91" s="270">
      <c r="A91" s="269"/>
      <c r="B91" s="289" t="str">
        <f aca="false">5_Produccion_Desagregada_09_10!$C$55</f>
        <v>Unidad de Cuidados Intensivos</v>
      </c>
      <c r="C91" s="290" t="str">
        <f aca="false">C$66</f>
        <v>Libras</v>
      </c>
      <c r="D91" s="305" t="n">
        <v>65619</v>
      </c>
      <c r="E91" s="291" t="n">
        <f aca="false">IF(ISERROR(D91/$D$90),"",D91/$D$90)</f>
        <v>0.425310302362511</v>
      </c>
      <c r="F91" s="292" t="n">
        <f aca="false">5_Produccion_Desagregada_09_10!$F$55</f>
        <v>926</v>
      </c>
      <c r="G91" s="293" t="n">
        <f aca="false">IF(ISERROR(D91/F91),"",D91/F91)</f>
        <v>70.8628509719222</v>
      </c>
    </row>
    <row collapsed="false" customFormat="true" customHeight="false" hidden="false" ht="14" outlineLevel="0" r="92" s="270">
      <c r="A92" s="269"/>
      <c r="B92" s="289" t="str">
        <f aca="false">5_Produccion_Desagregada_09_10!$C$56</f>
        <v>Unidad de Cuidados Intermedios</v>
      </c>
      <c r="C92" s="290" t="str">
        <f aca="false">C$66</f>
        <v>Libras</v>
      </c>
      <c r="D92" s="305" t="n">
        <v>23058</v>
      </c>
      <c r="E92" s="291" t="n">
        <f aca="false">IF(ISERROR(D92/$D$90),"",D92/$D$90)</f>
        <v>0.149450691901351</v>
      </c>
      <c r="F92" s="292" t="n">
        <f aca="false">5_Produccion_Desagregada_09_10!$F$56</f>
        <v>247</v>
      </c>
      <c r="G92" s="293" t="n">
        <f aca="false">IF(ISERROR(D92/F92),"",D92/F92)</f>
        <v>93.3522267206478</v>
      </c>
    </row>
    <row collapsed="false" customFormat="true" customHeight="false" hidden="false" ht="14" outlineLevel="0" r="93" s="270">
      <c r="A93" s="269"/>
      <c r="B93" s="302" t="str">
        <f aca="false">5_Produccion_Desagregada_09_10!$C$57</f>
        <v>Unidad de Cuidados Intensivos Neonatales</v>
      </c>
      <c r="C93" s="290" t="str">
        <f aca="false">C$66</f>
        <v>Libras</v>
      </c>
      <c r="D93" s="306" t="n">
        <v>65608</v>
      </c>
      <c r="E93" s="291" t="n">
        <f aca="false">IF(ISERROR(D93/$D$90),"",D93/$D$90)</f>
        <v>0.425239005736138</v>
      </c>
      <c r="F93" s="303" t="n">
        <f aca="false">5_Produccion_Desagregada_09_10!$F$57</f>
        <v>469</v>
      </c>
      <c r="G93" s="304" t="n">
        <f aca="false">IF(ISERROR(D93/F93),"",D93/F93)</f>
        <v>139.889125799574</v>
      </c>
    </row>
    <row collapsed="false" customFormat="true" customHeight="false" hidden="false" ht="14" outlineLevel="0" r="94" s="270">
      <c r="A94" s="269" t="n">
        <v>3</v>
      </c>
      <c r="B94" s="277" t="s">
        <v>479</v>
      </c>
      <c r="C94" s="278"/>
      <c r="D94" s="279"/>
      <c r="E94" s="278"/>
      <c r="F94" s="278"/>
      <c r="G94" s="280"/>
    </row>
    <row collapsed="false" customFormat="true" customHeight="false" hidden="false" ht="20.85" outlineLevel="0" r="95" s="270">
      <c r="A95" s="269" t="n">
        <v>3.1</v>
      </c>
      <c r="B95" s="281" t="s">
        <v>480</v>
      </c>
      <c r="C95" s="282" t="s">
        <v>481</v>
      </c>
      <c r="D95" s="282" t="str">
        <f aca="false">"Cantidad "&amp;C95&amp;" 2010"</f>
        <v>Cantidad # de Ordenes 2010</v>
      </c>
      <c r="E95" s="282" t="str">
        <f aca="false">"Porcentaje "&amp;C95&amp;" 2010"</f>
        <v>Porcentaje # de Ordenes 2010</v>
      </c>
      <c r="F95" s="282" t="s">
        <v>447</v>
      </c>
      <c r="G95" s="283" t="str">
        <f aca="false">C95&amp;" por Servicio Final"</f>
        <v># de Ordenes por Servicio Final</v>
      </c>
    </row>
    <row collapsed="false" customFormat="true" customHeight="false" hidden="false" ht="14" outlineLevel="0" r="96" s="270">
      <c r="A96" s="269"/>
      <c r="B96" s="284" t="str">
        <f aca="false">5_Produccion_Desagregada_09_10!$C$5</f>
        <v>Servicios Ambulatorios</v>
      </c>
      <c r="C96" s="285"/>
      <c r="D96" s="286" t="n">
        <f aca="false">SUM(D97:D103)</f>
        <v>351</v>
      </c>
      <c r="E96" s="287" t="inlineStr">
        <f aca="false">SUM(E97:E103)</f>
        <is>
          <t/>
        </is>
      </c>
      <c r="F96" s="286" t="n">
        <f aca="false">SUM(F98:F103)</f>
        <v>248597</v>
      </c>
      <c r="G96" s="288"/>
    </row>
    <row collapsed="false" customFormat="true" customHeight="false" hidden="false" ht="14" outlineLevel="0" r="97" s="270">
      <c r="A97" s="269"/>
      <c r="B97" s="289" t="str">
        <f aca="false">5_Produccion_Desagregada_09_10!$C$7</f>
        <v>Consulta General </v>
      </c>
      <c r="C97" s="290" t="str">
        <f aca="false">C$95</f>
        <v># de Ordenes</v>
      </c>
      <c r="D97" s="305" t="n">
        <v>0</v>
      </c>
      <c r="E97" s="291" t="n">
        <f aca="false">IF(ISERROR(D97/$D$96),"",D97/$D$96)</f>
        <v>0</v>
      </c>
      <c r="F97" s="292" t="n">
        <f aca="false">5_Produccion_Desagregada_09_10!$F$7</f>
        <v>0</v>
      </c>
      <c r="G97" s="293" t="str">
        <f aca="false">IF(ISERROR(D97/F97),"",D97/F97)</f>
        <v/>
      </c>
    </row>
    <row collapsed="false" customFormat="true" customHeight="false" hidden="false" ht="14" outlineLevel="0" r="98" s="270">
      <c r="A98" s="269"/>
      <c r="B98" s="289" t="str">
        <f aca="false">5_Produccion_Desagregada_09_10!$C$9</f>
        <v>Consultas de Especializadades Básicas</v>
      </c>
      <c r="C98" s="290" t="str">
        <f aca="false">C$95</f>
        <v># de Ordenes</v>
      </c>
      <c r="D98" s="305" t="n">
        <v>0</v>
      </c>
      <c r="E98" s="291" t="n">
        <f aca="false">IF(ISERROR(D98/$D$96),"",D98/$D$96)</f>
        <v>0</v>
      </c>
      <c r="F98" s="292" t="n">
        <f aca="false">5_Produccion_Desagregada_09_10!$F$9</f>
        <v>0</v>
      </c>
      <c r="G98" s="293" t="str">
        <f aca="false">IF(ISERROR(D98/F98),"",D98/F98)</f>
        <v/>
      </c>
    </row>
    <row collapsed="false" customFormat="true" customHeight="false" hidden="false" ht="14" outlineLevel="0" r="99" s="270">
      <c r="A99" s="269"/>
      <c r="B99" s="289" t="str">
        <f aca="false">5_Produccion_Desagregada_09_10!$C$12</f>
        <v>Consultas de Sub Especializadades</v>
      </c>
      <c r="C99" s="290" t="str">
        <f aca="false">C$95</f>
        <v># de Ordenes</v>
      </c>
      <c r="D99" s="305" t="n">
        <f aca="false">151+64</f>
        <v>215</v>
      </c>
      <c r="E99" s="291" t="n">
        <f aca="false">IF(ISERROR(D99/$D$96),"",D99/$D$96)</f>
        <v>0.612535612535612</v>
      </c>
      <c r="F99" s="292" t="n">
        <f aca="false">5_Produccion_Desagregada_09_10!$F$12</f>
        <v>207721</v>
      </c>
      <c r="G99" s="293" t="n">
        <f aca="false">IF(ISERROR(D99/F99),"",D99/F99)</f>
        <v>0.00103504219602255</v>
      </c>
    </row>
    <row collapsed="false" customFormat="true" customHeight="false" hidden="false" ht="14" outlineLevel="0" r="100" s="270">
      <c r="A100" s="269"/>
      <c r="B100" s="289" t="str">
        <f aca="false">5_Produccion_Desagregada_09_10!$C$17</f>
        <v>Consultas de Emergencia de Medicina Interna Pediatrica</v>
      </c>
      <c r="C100" s="290" t="str">
        <f aca="false">C$95</f>
        <v># de Ordenes</v>
      </c>
      <c r="D100" s="305" t="n">
        <v>101</v>
      </c>
      <c r="E100" s="291" t="n">
        <f aca="false">IF(ISERROR(D100/$D$96),"",D100/$D$96)</f>
        <v>0.287749287749288</v>
      </c>
      <c r="F100" s="292" t="n">
        <f aca="false">5_Produccion_Desagregada_09_10!$F$17</f>
        <v>9804</v>
      </c>
      <c r="G100" s="293" t="n">
        <f aca="false">IF(ISERROR(D100/F100),"",D100/F100)</f>
        <v>0.0103019175846593</v>
      </c>
    </row>
    <row collapsed="false" customFormat="true" customHeight="false" hidden="false" ht="14" outlineLevel="0" r="101" s="270">
      <c r="A101" s="269"/>
      <c r="B101" s="289" t="str">
        <f aca="false">5_Produccion_Desagregada_09_10!$C$18</f>
        <v>Consultas de Emergencia de Cirugia General Pediatrica</v>
      </c>
      <c r="C101" s="290" t="str">
        <f aca="false">C$95</f>
        <v># de Ordenes</v>
      </c>
      <c r="D101" s="305" t="n">
        <v>0</v>
      </c>
      <c r="E101" s="291" t="n">
        <f aca="false">IF(ISERROR(D101/$D$96),"",D101/$D$96)</f>
        <v>0</v>
      </c>
      <c r="F101" s="292" t="n">
        <f aca="false">5_Produccion_Desagregada_09_10!$F$18</f>
        <v>13464</v>
      </c>
      <c r="G101" s="293" t="n">
        <f aca="false">IF(ISERROR(D101/F101),"",D101/F101)</f>
        <v>0</v>
      </c>
    </row>
    <row collapsed="false" customFormat="true" customHeight="false" hidden="false" ht="14" outlineLevel="0" r="102" s="270">
      <c r="A102" s="269"/>
      <c r="B102" s="289" t="str">
        <f aca="false">5_Produccion_Desagregada_09_10!$C$20</f>
        <v>Consulta de Odontologia General</v>
      </c>
      <c r="C102" s="290" t="str">
        <f aca="false">C$95</f>
        <v># de Ordenes</v>
      </c>
      <c r="D102" s="305" t="n">
        <v>35</v>
      </c>
      <c r="E102" s="291" t="n">
        <f aca="false">IF(ISERROR(D102/$D$96),"",D102/$D$96)</f>
        <v>0.0997150997150997</v>
      </c>
      <c r="F102" s="292" t="n">
        <f aca="false">5_Produccion_Desagregada_09_10!$F$20</f>
        <v>16487</v>
      </c>
      <c r="G102" s="293" t="n">
        <f aca="false">IF(ISERROR(D102/F102),"",D102/F102)</f>
        <v>0.00212288469703403</v>
      </c>
    </row>
    <row collapsed="false" customFormat="true" customHeight="false" hidden="false" ht="14" outlineLevel="0" r="103" s="270">
      <c r="A103" s="269"/>
      <c r="B103" s="289" t="str">
        <f aca="false">5_Produccion_Desagregada_09_10!$C$21</f>
        <v>Consulta de Ortodoncia</v>
      </c>
      <c r="C103" s="290" t="str">
        <f aca="false">C$95</f>
        <v># de Ordenes</v>
      </c>
      <c r="D103" s="305" t="n">
        <v>0</v>
      </c>
      <c r="E103" s="291" t="n">
        <f aca="false">IF(ISERROR(D103/$D$96),"",D103/$D$96)</f>
        <v>0</v>
      </c>
      <c r="F103" s="292" t="n">
        <f aca="false">5_Produccion_Desagregada_09_10!$F$21</f>
        <v>1121</v>
      </c>
      <c r="G103" s="293" t="n">
        <f aca="false">IF(ISERROR(D103/F103),"",D103/F103)</f>
        <v>0</v>
      </c>
    </row>
    <row collapsed="false" customFormat="true" customHeight="false" hidden="false" ht="14" outlineLevel="0" r="104" s="270">
      <c r="A104" s="269"/>
      <c r="B104" s="294" t="str">
        <f aca="false">5_Produccion_Desagregada_09_10!$C$32</f>
        <v>Servicios Hospitalarios </v>
      </c>
      <c r="C104" s="295"/>
      <c r="D104" s="296" t="n">
        <f aca="false">SUM(D105,D119)</f>
        <v>1007</v>
      </c>
      <c r="E104" s="295"/>
      <c r="F104" s="296" t="n">
        <f aca="false">SUM(F105,F119)</f>
        <v>16069</v>
      </c>
      <c r="G104" s="297"/>
    </row>
    <row collapsed="false" customFormat="true" customHeight="false" hidden="false" ht="14" outlineLevel="0" r="105" s="270">
      <c r="A105" s="269"/>
      <c r="B105" s="298" t="str">
        <f aca="false">5_Produccion_Desagregada_09_10!$C$33</f>
        <v>Egresos</v>
      </c>
      <c r="C105" s="299"/>
      <c r="D105" s="300" t="n">
        <f aca="false">SUM(D106:D118)</f>
        <v>523</v>
      </c>
      <c r="E105" s="299" t="inlineStr">
        <f aca="false">SUM(E106:E118)</f>
        <is>
          <t/>
        </is>
      </c>
      <c r="F105" s="300" t="n">
        <f aca="false">SUM(F106:F118)</f>
        <v>14427</v>
      </c>
      <c r="G105" s="301"/>
    </row>
    <row collapsed="false" customFormat="true" customHeight="false" hidden="false" ht="14" outlineLevel="0" r="106" s="270">
      <c r="A106" s="269"/>
      <c r="B106" s="289" t="str">
        <f aca="false">5_Produccion_Desagregada_09_10!$C$35</f>
        <v>Medicina Interna </v>
      </c>
      <c r="C106" s="290" t="str">
        <f aca="false">C$95</f>
        <v># de Ordenes</v>
      </c>
      <c r="D106" s="186" t="n">
        <v>79</v>
      </c>
      <c r="E106" s="291" t="n">
        <f aca="false">IF(ISERROR(D106/$D$105),"",D106/$D$105)</f>
        <v>0.151051625239006</v>
      </c>
      <c r="F106" s="292" t="n">
        <f aca="false">5_Produccion_Desagregada_09_10!$F$35</f>
        <v>1106</v>
      </c>
      <c r="G106" s="293" t="n">
        <f aca="false">IF(ISERROR(D106/F106),"",D106/F106)</f>
        <v>0.0714285714285714</v>
      </c>
    </row>
    <row collapsed="false" customFormat="true" customHeight="false" hidden="false" ht="14" outlineLevel="0" r="107" s="270">
      <c r="A107" s="269"/>
      <c r="B107" s="289" t="str">
        <f aca="false">5_Produccion_Desagregada_09_10!$C$36</f>
        <v>Infectología</v>
      </c>
      <c r="C107" s="290" t="str">
        <f aca="false">C$95</f>
        <v># de Ordenes</v>
      </c>
      <c r="D107" s="186" t="n">
        <v>71</v>
      </c>
      <c r="E107" s="291" t="n">
        <f aca="false">IF(ISERROR(D107/$D$105),"",D107/$D$105)</f>
        <v>0.135755258126195</v>
      </c>
      <c r="F107" s="292" t="n">
        <f aca="false">5_Produccion_Desagregada_09_10!$F$36</f>
        <v>2282</v>
      </c>
      <c r="G107" s="293" t="n">
        <f aca="false">IF(ISERROR(D107/F107),"",D107/F107)</f>
        <v>0.0311130587204207</v>
      </c>
    </row>
    <row collapsed="false" customFormat="true" customHeight="false" hidden="false" ht="14" outlineLevel="0" r="108" s="270">
      <c r="A108" s="269"/>
      <c r="B108" s="289" t="str">
        <f aca="false">5_Produccion_Desagregada_09_10!$C$37</f>
        <v>Nefrología</v>
      </c>
      <c r="C108" s="290" t="str">
        <f aca="false">C$95</f>
        <v># de Ordenes</v>
      </c>
      <c r="D108" s="186" t="n">
        <v>10</v>
      </c>
      <c r="E108" s="291" t="n">
        <f aca="false">IF(ISERROR(D108/$D$105),"",D108/$D$105)</f>
        <v>0.0191204588910134</v>
      </c>
      <c r="F108" s="292" t="n">
        <f aca="false">5_Produccion_Desagregada_09_10!$F$37</f>
        <v>323</v>
      </c>
      <c r="G108" s="293" t="n">
        <f aca="false">IF(ISERROR(D108/F108),"",D108/F108)</f>
        <v>0.0309597523219814</v>
      </c>
    </row>
    <row collapsed="false" customFormat="true" customHeight="false" hidden="false" ht="14" outlineLevel="0" r="109" s="270">
      <c r="A109" s="269"/>
      <c r="B109" s="289" t="str">
        <f aca="false">5_Produccion_Desagregada_09_10!$C$38</f>
        <v>Hematología</v>
      </c>
      <c r="C109" s="290" t="str">
        <f aca="false">C$95</f>
        <v># de Ordenes</v>
      </c>
      <c r="D109" s="186" t="n">
        <v>16</v>
      </c>
      <c r="E109" s="291" t="n">
        <f aca="false">IF(ISERROR(D109/$D$105),"",D109/$D$105)</f>
        <v>0.0305927342256214</v>
      </c>
      <c r="F109" s="292" t="n">
        <f aca="false">5_Produccion_Desagregada_09_10!$F$38</f>
        <v>958</v>
      </c>
      <c r="G109" s="293" t="n">
        <f aca="false">IF(ISERROR(D109/F109),"",D109/F109)</f>
        <v>0.0167014613778706</v>
      </c>
    </row>
    <row collapsed="false" customFormat="true" customHeight="false" hidden="false" ht="14" outlineLevel="0" r="110" s="270">
      <c r="A110" s="269"/>
      <c r="B110" s="289" t="str">
        <f aca="false">5_Produccion_Desagregada_09_10!$C$39</f>
        <v>Oncología</v>
      </c>
      <c r="C110" s="290" t="str">
        <f aca="false">C$95</f>
        <v># de Ordenes</v>
      </c>
      <c r="D110" s="186" t="n">
        <v>37</v>
      </c>
      <c r="E110" s="291" t="n">
        <f aca="false">IF(ISERROR(D110/$D$105),"",D110/$D$105)</f>
        <v>0.0707456978967495</v>
      </c>
      <c r="F110" s="292" t="n">
        <f aca="false">5_Produccion_Desagregada_09_10!$F$39</f>
        <v>708</v>
      </c>
      <c r="G110" s="293" t="n">
        <f aca="false">IF(ISERROR(D110/F110),"",D110/F110)</f>
        <v>0.0522598870056497</v>
      </c>
    </row>
    <row collapsed="false" customFormat="true" customHeight="false" hidden="false" ht="14" outlineLevel="0" r="111" s="270">
      <c r="A111" s="269"/>
      <c r="B111" s="289" t="str">
        <f aca="false">5_Produccion_Desagregada_09_10!$C$40</f>
        <v>Neonatología</v>
      </c>
      <c r="C111" s="290" t="str">
        <f aca="false">C$95</f>
        <v># de Ordenes</v>
      </c>
      <c r="D111" s="186" t="n">
        <v>146</v>
      </c>
      <c r="E111" s="291" t="n">
        <f aca="false">IF(ISERROR(D111/$D$105),"",D111/$D$105)</f>
        <v>0.279158699808795</v>
      </c>
      <c r="F111" s="292" t="n">
        <f aca="false">5_Produccion_Desagregada_09_10!$F$40</f>
        <v>711</v>
      </c>
      <c r="G111" s="293" t="n">
        <f aca="false">IF(ISERROR(D111/F111),"",D111/F111)</f>
        <v>0.205344585091421</v>
      </c>
    </row>
    <row collapsed="false" customFormat="true" customHeight="false" hidden="false" ht="14" outlineLevel="0" r="112" s="270">
      <c r="A112" s="269"/>
      <c r="B112" s="289" t="str">
        <f aca="false">5_Produccion_Desagregada_09_10!$C$42</f>
        <v>Cirugía General</v>
      </c>
      <c r="C112" s="290" t="str">
        <f aca="false">C$95</f>
        <v># de Ordenes</v>
      </c>
      <c r="D112" s="186" t="n">
        <v>33</v>
      </c>
      <c r="E112" s="291" t="n">
        <f aca="false">IF(ISERROR(D112/$D$105),"",D112/$D$105)</f>
        <v>0.0630975143403442</v>
      </c>
      <c r="F112" s="292" t="n">
        <f aca="false">5_Produccion_Desagregada_09_10!$F$42</f>
        <v>2410</v>
      </c>
      <c r="G112" s="293" t="n">
        <f aca="false">IF(ISERROR(D112/F112),"",D112/F112)</f>
        <v>0.0136929460580913</v>
      </c>
    </row>
    <row collapsed="false" customFormat="true" customHeight="false" hidden="false" ht="14" outlineLevel="0" r="113" s="270">
      <c r="A113" s="269"/>
      <c r="B113" s="289" t="str">
        <f aca="false">5_Produccion_Desagregada_09_10!$C$43</f>
        <v>Cirugía Plastica</v>
      </c>
      <c r="C113" s="290" t="str">
        <f aca="false">C$95</f>
        <v># de Ordenes</v>
      </c>
      <c r="D113" s="186" t="n">
        <v>18</v>
      </c>
      <c r="E113" s="291" t="n">
        <f aca="false">IF(ISERROR(D113/$D$105),"",D113/$D$105)</f>
        <v>0.0344168260038241</v>
      </c>
      <c r="F113" s="292" t="n">
        <f aca="false">5_Produccion_Desagregada_09_10!$F$43</f>
        <v>962</v>
      </c>
      <c r="G113" s="293" t="n">
        <f aca="false">IF(ISERROR(D113/F113),"",D113/F113)</f>
        <v>0.0187110187110187</v>
      </c>
    </row>
    <row collapsed="false" customFormat="true" customHeight="false" hidden="false" ht="14" outlineLevel="0" r="114" s="270">
      <c r="A114" s="269"/>
      <c r="B114" s="289" t="str">
        <f aca="false">5_Produccion_Desagregada_09_10!$C$44</f>
        <v>Neurocirugía</v>
      </c>
      <c r="C114" s="290" t="str">
        <f aca="false">C$95</f>
        <v># de Ordenes</v>
      </c>
      <c r="D114" s="186" t="n">
        <v>51</v>
      </c>
      <c r="E114" s="291" t="n">
        <f aca="false">IF(ISERROR(D114/$D$105),"",D114/$D$105)</f>
        <v>0.0975143403441682</v>
      </c>
      <c r="F114" s="292" t="n">
        <f aca="false">5_Produccion_Desagregada_09_10!$F$44</f>
        <v>1152</v>
      </c>
      <c r="G114" s="293" t="n">
        <f aca="false">IF(ISERROR(D114/F114),"",D114/F114)</f>
        <v>0.0442708333333333</v>
      </c>
    </row>
    <row collapsed="false" customFormat="true" customHeight="false" hidden="false" ht="14" outlineLevel="0" r="115" s="270">
      <c r="A115" s="269"/>
      <c r="B115" s="289" t="str">
        <f aca="false">5_Produccion_Desagregada_09_10!$C$45</f>
        <v>Oftalmología</v>
      </c>
      <c r="C115" s="290" t="str">
        <f aca="false">C$95</f>
        <v># de Ordenes</v>
      </c>
      <c r="D115" s="186" t="n">
        <v>11</v>
      </c>
      <c r="E115" s="291" t="n">
        <f aca="false">IF(ISERROR(D115/$D$105),"",D115/$D$105)</f>
        <v>0.0210325047801147</v>
      </c>
      <c r="F115" s="292" t="n">
        <f aca="false">5_Produccion_Desagregada_09_10!$F$45</f>
        <v>905</v>
      </c>
      <c r="G115" s="293" t="n">
        <f aca="false">IF(ISERROR(D115/F115),"",D115/F115)</f>
        <v>0.0121546961325967</v>
      </c>
    </row>
    <row collapsed="false" customFormat="true" customHeight="false" hidden="false" ht="14" outlineLevel="0" r="116" s="270">
      <c r="A116" s="269"/>
      <c r="B116" s="289" t="str">
        <f aca="false">5_Produccion_Desagregada_09_10!$C$46</f>
        <v>Otorrinolaringología</v>
      </c>
      <c r="C116" s="290" t="str">
        <f aca="false">C$95</f>
        <v># de Ordenes</v>
      </c>
      <c r="D116" s="186" t="n">
        <v>8</v>
      </c>
      <c r="E116" s="291" t="n">
        <f aca="false">IF(ISERROR(D116/$D$105),"",D116/$D$105)</f>
        <v>0.0152963671128107</v>
      </c>
      <c r="F116" s="292" t="n">
        <f aca="false">5_Produccion_Desagregada_09_10!$F$46</f>
        <v>1131</v>
      </c>
      <c r="G116" s="293" t="n">
        <f aca="false">IF(ISERROR(D116/F116),"",D116/F116)</f>
        <v>0.00707338638373121</v>
      </c>
    </row>
    <row collapsed="false" customFormat="true" customHeight="false" hidden="false" ht="14" outlineLevel="0" r="117" s="270">
      <c r="A117" s="269"/>
      <c r="B117" s="289" t="str">
        <f aca="false">5_Produccion_Desagregada_09_10!$C$47</f>
        <v>Ortopedia</v>
      </c>
      <c r="C117" s="290" t="str">
        <f aca="false">C$95</f>
        <v># de Ordenes</v>
      </c>
      <c r="D117" s="186" t="n">
        <v>15</v>
      </c>
      <c r="E117" s="291" t="n">
        <f aca="false">IF(ISERROR(D117/$D$105),"",D117/$D$105)</f>
        <v>0.0286806883365201</v>
      </c>
      <c r="F117" s="292" t="n">
        <f aca="false">5_Produccion_Desagregada_09_10!$F$47</f>
        <v>706</v>
      </c>
      <c r="G117" s="293" t="n">
        <f aca="false">IF(ISERROR(D117/F117),"",D117/F117)</f>
        <v>0.0212464589235127</v>
      </c>
    </row>
    <row collapsed="false" customFormat="true" customHeight="false" hidden="false" ht="14" outlineLevel="0" r="118" s="270">
      <c r="A118" s="269"/>
      <c r="B118" s="289" t="str">
        <f aca="false">5_Produccion_Desagregada_09_10!$C$48</f>
        <v>Otros Servicios (Convenios / BM / ISSS)</v>
      </c>
      <c r="C118" s="290" t="str">
        <f aca="false">C$95</f>
        <v># de Ordenes</v>
      </c>
      <c r="D118" s="186" t="n">
        <v>28</v>
      </c>
      <c r="E118" s="291" t="n">
        <f aca="false">IF(ISERROR(D118/$D$105),"",D118/$D$105)</f>
        <v>0.0535372848948375</v>
      </c>
      <c r="F118" s="292" t="n">
        <f aca="false">5_Produccion_Desagregada_09_10!$F$48</f>
        <v>1073</v>
      </c>
      <c r="G118" s="293" t="n">
        <f aca="false">IF(ISERROR(D118/F118),"",D118/F118)</f>
        <v>0.0260950605778192</v>
      </c>
    </row>
    <row collapsed="false" customFormat="true" customHeight="false" hidden="false" ht="14" outlineLevel="0" r="119" s="270">
      <c r="A119" s="269"/>
      <c r="B119" s="298" t="str">
        <f aca="false">5_Produccion_Desagregada_09_10!$C$54</f>
        <v>Cuidados Criticos</v>
      </c>
      <c r="C119" s="299"/>
      <c r="D119" s="300" t="n">
        <f aca="false">SUM(D120:D122)</f>
        <v>484</v>
      </c>
      <c r="E119" s="299" t="inlineStr">
        <f aca="false">SUM(E120:E122)</f>
        <is>
          <t/>
        </is>
      </c>
      <c r="F119" s="300" t="n">
        <f aca="false">SUM(F120:F122)</f>
        <v>1642</v>
      </c>
      <c r="G119" s="301"/>
    </row>
    <row collapsed="false" customFormat="true" customHeight="false" hidden="false" ht="14" outlineLevel="0" r="120" s="270">
      <c r="A120" s="269"/>
      <c r="B120" s="289" t="str">
        <f aca="false">5_Produccion_Desagregada_09_10!$C$55</f>
        <v>Unidad de Cuidados Intensivos</v>
      </c>
      <c r="C120" s="290" t="str">
        <f aca="false">C$95</f>
        <v># de Ordenes</v>
      </c>
      <c r="D120" s="305" t="n">
        <v>232</v>
      </c>
      <c r="E120" s="291" t="n">
        <f aca="false">IF(ISERROR(D120/$D$119),"",D120/$D$119)</f>
        <v>0.479338842975207</v>
      </c>
      <c r="F120" s="292" t="n">
        <f aca="false">5_Produccion_Desagregada_09_10!$F$55</f>
        <v>926</v>
      </c>
      <c r="G120" s="293" t="n">
        <f aca="false">IF(ISERROR(D120/F120),"",D120/F120)</f>
        <v>0.250539956803456</v>
      </c>
    </row>
    <row collapsed="false" customFormat="true" customHeight="false" hidden="false" ht="14" outlineLevel="0" r="121" s="270">
      <c r="A121" s="269"/>
      <c r="B121" s="289" t="str">
        <f aca="false">5_Produccion_Desagregada_09_10!$C$56</f>
        <v>Unidad de Cuidados Intermedios</v>
      </c>
      <c r="C121" s="290" t="str">
        <f aca="false">C$95</f>
        <v># de Ordenes</v>
      </c>
      <c r="D121" s="305" t="n">
        <v>86</v>
      </c>
      <c r="E121" s="291" t="n">
        <f aca="false">IF(ISERROR(D121/$D$119),"",D121/$D$119)</f>
        <v>0.177685950413223</v>
      </c>
      <c r="F121" s="292" t="n">
        <f aca="false">5_Produccion_Desagregada_09_10!$F$56</f>
        <v>247</v>
      </c>
      <c r="G121" s="293" t="n">
        <f aca="false">IF(ISERROR(D121/F121),"",D121/F121)</f>
        <v>0.348178137651822</v>
      </c>
    </row>
    <row collapsed="false" customFormat="true" customHeight="false" hidden="false" ht="14" outlineLevel="0" r="122" s="270">
      <c r="A122" s="269"/>
      <c r="B122" s="302" t="str">
        <f aca="false">5_Produccion_Desagregada_09_10!$C$57</f>
        <v>Unidad de Cuidados Intensivos Neonatales</v>
      </c>
      <c r="C122" s="308" t="str">
        <f aca="false">C$95</f>
        <v># de Ordenes</v>
      </c>
      <c r="D122" s="306" t="n">
        <v>166</v>
      </c>
      <c r="E122" s="291" t="n">
        <f aca="false">IF(ISERROR(D122/$D$119),"",D122/$D$119)</f>
        <v>0.34297520661157</v>
      </c>
      <c r="F122" s="303" t="n">
        <f aca="false">5_Produccion_Desagregada_09_10!$F$57</f>
        <v>469</v>
      </c>
      <c r="G122" s="304" t="n">
        <f aca="false">IF(ISERROR(D122/F122),"",D122/F122)</f>
        <v>0.353944562899787</v>
      </c>
    </row>
    <row collapsed="false" customFormat="true" customHeight="false" hidden="false" ht="20.85" outlineLevel="0" r="123" s="270">
      <c r="A123" s="269" t="n">
        <v>3.2</v>
      </c>
      <c r="B123" s="281" t="s">
        <v>482</v>
      </c>
      <c r="C123" s="282" t="s">
        <v>481</v>
      </c>
      <c r="D123" s="282" t="str">
        <f aca="false">"Cantidad "&amp;C123&amp;" 2010"</f>
        <v>Cantidad # de Ordenes 2010</v>
      </c>
      <c r="E123" s="282" t="str">
        <f aca="false">"Porcentaje "&amp;C123&amp;" 2010"</f>
        <v>Porcentaje # de Ordenes 2010</v>
      </c>
      <c r="F123" s="282" t="s">
        <v>447</v>
      </c>
      <c r="G123" s="283" t="str">
        <f aca="false">C123&amp;" por Servicio Final"</f>
        <v># de Ordenes por Servicio Final</v>
      </c>
    </row>
    <row collapsed="false" customFormat="true" customHeight="false" hidden="false" ht="14" outlineLevel="0" r="124" s="270">
      <c r="A124" s="269"/>
      <c r="B124" s="284" t="str">
        <f aca="false">5_Produccion_Desagregada_09_10!$C$5</f>
        <v>Servicios Ambulatorios</v>
      </c>
      <c r="C124" s="285"/>
      <c r="D124" s="286" t="n">
        <f aca="false">SUM(D125:D131)</f>
        <v>760</v>
      </c>
      <c r="E124" s="287" t="inlineStr">
        <f aca="false">SUM(E125:E131)</f>
        <is>
          <t/>
        </is>
      </c>
      <c r="F124" s="286" t="n">
        <f aca="false">SUM(F126:F131)</f>
        <v>248597</v>
      </c>
      <c r="G124" s="288"/>
    </row>
    <row collapsed="false" customFormat="true" customHeight="false" hidden="false" ht="14" outlineLevel="0" r="125" s="270">
      <c r="A125" s="269"/>
      <c r="B125" s="289" t="str">
        <f aca="false">5_Produccion_Desagregada_09_10!$C$7</f>
        <v>Consulta General </v>
      </c>
      <c r="C125" s="290" t="str">
        <f aca="false">C$123</f>
        <v># de Ordenes</v>
      </c>
      <c r="D125" s="305" t="n">
        <v>0</v>
      </c>
      <c r="E125" s="291" t="n">
        <f aca="false">IF(ISERROR(D125/$D$124),"",D125/$D$124)</f>
        <v>0</v>
      </c>
      <c r="F125" s="292" t="n">
        <f aca="false">5_Produccion_Desagregada_09_10!$F$7</f>
        <v>0</v>
      </c>
      <c r="G125" s="293" t="str">
        <f aca="false">IF(ISERROR(D125/F125),"",D125/F125)</f>
        <v/>
      </c>
    </row>
    <row collapsed="false" customFormat="true" customHeight="false" hidden="false" ht="14" outlineLevel="0" r="126" s="270">
      <c r="A126" s="269"/>
      <c r="B126" s="289" t="str">
        <f aca="false">5_Produccion_Desagregada_09_10!$C$9</f>
        <v>Consultas de Especializadades Básicas</v>
      </c>
      <c r="C126" s="290" t="str">
        <f aca="false">C$123</f>
        <v># de Ordenes</v>
      </c>
      <c r="D126" s="305" t="n">
        <v>0</v>
      </c>
      <c r="E126" s="291" t="n">
        <f aca="false">IF(ISERROR(D126/$D$124),"",D126/$D$124)</f>
        <v>0</v>
      </c>
      <c r="F126" s="292" t="n">
        <f aca="false">5_Produccion_Desagregada_09_10!$F$9</f>
        <v>0</v>
      </c>
      <c r="G126" s="293" t="str">
        <f aca="false">IF(ISERROR(D126/F126),"",D126/F126)</f>
        <v/>
      </c>
    </row>
    <row collapsed="false" customFormat="true" customHeight="false" hidden="false" ht="14" outlineLevel="0" r="127" s="270">
      <c r="A127" s="269"/>
      <c r="B127" s="289" t="str">
        <f aca="false">5_Produccion_Desagregada_09_10!$C$12</f>
        <v>Consultas de Sub Especializadades</v>
      </c>
      <c r="C127" s="290" t="str">
        <f aca="false">C$123</f>
        <v># de Ordenes</v>
      </c>
      <c r="D127" s="305" t="n">
        <f aca="false">400+67</f>
        <v>467</v>
      </c>
      <c r="E127" s="291" t="n">
        <f aca="false">IF(ISERROR(D127/$D$124),"",D127/$D$124)</f>
        <v>0.614473684210526</v>
      </c>
      <c r="F127" s="292" t="n">
        <f aca="false">5_Produccion_Desagregada_09_10!$F$12</f>
        <v>207721</v>
      </c>
      <c r="G127" s="293" t="n">
        <f aca="false">IF(ISERROR(D127/F127),"",D127/F127)</f>
        <v>0.00224820793275596</v>
      </c>
    </row>
    <row collapsed="false" customFormat="true" customHeight="false" hidden="false" ht="14" outlineLevel="0" r="128" s="270">
      <c r="A128" s="269"/>
      <c r="B128" s="289" t="str">
        <f aca="false">5_Produccion_Desagregada_09_10!$C$17</f>
        <v>Consultas de Emergencia de Medicina Interna Pediatrica</v>
      </c>
      <c r="C128" s="290" t="str">
        <f aca="false">C$123</f>
        <v># de Ordenes</v>
      </c>
      <c r="D128" s="305" t="n">
        <v>250</v>
      </c>
      <c r="E128" s="291" t="n">
        <f aca="false">IF(ISERROR(D128/$D$124),"",D128/$D$124)</f>
        <v>0.328947368421053</v>
      </c>
      <c r="F128" s="292" t="n">
        <f aca="false">5_Produccion_Desagregada_09_10!$F$17</f>
        <v>9804</v>
      </c>
      <c r="G128" s="293" t="n">
        <f aca="false">IF(ISERROR(D128/F128),"",D128/F128)</f>
        <v>0.025499796001632</v>
      </c>
    </row>
    <row collapsed="false" customFormat="true" customHeight="false" hidden="false" ht="14" outlineLevel="0" r="129" s="270">
      <c r="A129" s="269"/>
      <c r="B129" s="289" t="str">
        <f aca="false">5_Produccion_Desagregada_09_10!$C$18</f>
        <v>Consultas de Emergencia de Cirugia General Pediatrica</v>
      </c>
      <c r="C129" s="290" t="str">
        <f aca="false">C$123</f>
        <v># de Ordenes</v>
      </c>
      <c r="D129" s="305" t="n">
        <v>0</v>
      </c>
      <c r="E129" s="291" t="n">
        <f aca="false">IF(ISERROR(D129/$D$124),"",D129/$D$124)</f>
        <v>0</v>
      </c>
      <c r="F129" s="292" t="n">
        <f aca="false">5_Produccion_Desagregada_09_10!$F$18</f>
        <v>13464</v>
      </c>
      <c r="G129" s="293" t="n">
        <f aca="false">IF(ISERROR(D129/F129),"",D129/F129)</f>
        <v>0</v>
      </c>
    </row>
    <row collapsed="false" customFormat="true" customHeight="false" hidden="false" ht="14" outlineLevel="0" r="130" s="270">
      <c r="A130" s="269"/>
      <c r="B130" s="289" t="str">
        <f aca="false">5_Produccion_Desagregada_09_10!$C$20</f>
        <v>Consulta de Odontologia General</v>
      </c>
      <c r="C130" s="290" t="str">
        <f aca="false">C$123</f>
        <v># de Ordenes</v>
      </c>
      <c r="D130" s="305" t="n">
        <v>43</v>
      </c>
      <c r="E130" s="291" t="n">
        <f aca="false">IF(ISERROR(D130/$D$124),"",D130/$D$124)</f>
        <v>0.0565789473684211</v>
      </c>
      <c r="F130" s="292" t="n">
        <f aca="false">5_Produccion_Desagregada_09_10!$F$20</f>
        <v>16487</v>
      </c>
      <c r="G130" s="293" t="n">
        <f aca="false">IF(ISERROR(D130/F130),"",D130/F130)</f>
        <v>0.00260811548492752</v>
      </c>
    </row>
    <row collapsed="false" customFormat="true" customHeight="false" hidden="false" ht="14" outlineLevel="0" r="131" s="270">
      <c r="A131" s="269"/>
      <c r="B131" s="289" t="str">
        <f aca="false">5_Produccion_Desagregada_09_10!$C$21</f>
        <v>Consulta de Ortodoncia</v>
      </c>
      <c r="C131" s="290" t="str">
        <f aca="false">C$123</f>
        <v># de Ordenes</v>
      </c>
      <c r="D131" s="305" t="n">
        <v>0</v>
      </c>
      <c r="E131" s="291" t="n">
        <f aca="false">IF(ISERROR(D131/$D$124),"",D131/$D$124)</f>
        <v>0</v>
      </c>
      <c r="F131" s="292" t="n">
        <f aca="false">5_Produccion_Desagregada_09_10!$F$21</f>
        <v>1121</v>
      </c>
      <c r="G131" s="293" t="n">
        <f aca="false">IF(ISERROR(D131/F131),"",D131/F131)</f>
        <v>0</v>
      </c>
    </row>
    <row collapsed="false" customFormat="true" customHeight="false" hidden="false" ht="14" outlineLevel="0" r="132" s="270">
      <c r="A132" s="269"/>
      <c r="B132" s="294" t="str">
        <f aca="false">5_Produccion_Desagregada_09_10!$C$32</f>
        <v>Servicios Hospitalarios </v>
      </c>
      <c r="C132" s="295"/>
      <c r="D132" s="296" t="n">
        <f aca="false">SUM(D133,D147)</f>
        <v>1861</v>
      </c>
      <c r="E132" s="295"/>
      <c r="F132" s="296" t="n">
        <f aca="false">SUM(F133,F147)</f>
        <v>16069</v>
      </c>
      <c r="G132" s="297"/>
    </row>
    <row collapsed="false" customFormat="true" customHeight="false" hidden="false" ht="14" outlineLevel="0" r="133" s="270">
      <c r="A133" s="269"/>
      <c r="B133" s="298" t="str">
        <f aca="false">5_Produccion_Desagregada_09_10!$C$33</f>
        <v>Egresos</v>
      </c>
      <c r="C133" s="299"/>
      <c r="D133" s="300" t="n">
        <f aca="false">SUM(D134:D146)</f>
        <v>1415</v>
      </c>
      <c r="E133" s="299" t="inlineStr">
        <f aca="false">SUM(E134:E146)</f>
        <is>
          <t/>
        </is>
      </c>
      <c r="F133" s="300" t="n">
        <f aca="false">SUM(F134:F146)</f>
        <v>14427</v>
      </c>
      <c r="G133" s="301"/>
    </row>
    <row collapsed="false" customFormat="true" customHeight="false" hidden="false" ht="14" outlineLevel="0" r="134" s="270">
      <c r="A134" s="269"/>
      <c r="B134" s="289" t="str">
        <f aca="false">5_Produccion_Desagregada_09_10!$C$35</f>
        <v>Medicina Interna </v>
      </c>
      <c r="C134" s="290" t="str">
        <f aca="false">C$123</f>
        <v># de Ordenes</v>
      </c>
      <c r="D134" s="186" t="n">
        <v>157</v>
      </c>
      <c r="E134" s="291" t="n">
        <f aca="false">IF(ISERROR(D134/$D$133),"",D134/$D$133)</f>
        <v>0.11095406360424</v>
      </c>
      <c r="F134" s="292" t="n">
        <f aca="false">5_Produccion_Desagregada_09_10!$F$35</f>
        <v>1106</v>
      </c>
      <c r="G134" s="293" t="n">
        <f aca="false">IF(ISERROR(D134/F134),"",D134/F134)</f>
        <v>0.141952983725136</v>
      </c>
    </row>
    <row collapsed="false" customFormat="true" customHeight="false" hidden="false" ht="14" outlineLevel="0" r="135" s="270">
      <c r="A135" s="269"/>
      <c r="B135" s="289" t="str">
        <f aca="false">5_Produccion_Desagregada_09_10!$C$36</f>
        <v>Infectología</v>
      </c>
      <c r="C135" s="290" t="str">
        <f aca="false">C$123</f>
        <v># de Ordenes</v>
      </c>
      <c r="D135" s="186" t="n">
        <v>247</v>
      </c>
      <c r="E135" s="291" t="n">
        <f aca="false">IF(ISERROR(D135/$D$133),"",D135/$D$133)</f>
        <v>0.174558303886926</v>
      </c>
      <c r="F135" s="292" t="n">
        <f aca="false">5_Produccion_Desagregada_09_10!$F$36</f>
        <v>2282</v>
      </c>
      <c r="G135" s="293" t="n">
        <f aca="false">IF(ISERROR(D135/F135),"",D135/F135)</f>
        <v>0.108238387379492</v>
      </c>
    </row>
    <row collapsed="false" customFormat="true" customHeight="false" hidden="false" ht="14" outlineLevel="0" r="136" s="270">
      <c r="A136" s="269"/>
      <c r="B136" s="289" t="str">
        <f aca="false">5_Produccion_Desagregada_09_10!$C$37</f>
        <v>Nefrología</v>
      </c>
      <c r="C136" s="290" t="str">
        <f aca="false">C$123</f>
        <v># de Ordenes</v>
      </c>
      <c r="D136" s="186" t="n">
        <v>80</v>
      </c>
      <c r="E136" s="291" t="n">
        <f aca="false">IF(ISERROR(D136/$D$133),"",D136/$D$133)</f>
        <v>0.0565371024734982</v>
      </c>
      <c r="F136" s="292" t="n">
        <f aca="false">5_Produccion_Desagregada_09_10!$F$37</f>
        <v>323</v>
      </c>
      <c r="G136" s="293" t="n">
        <f aca="false">IF(ISERROR(D136/F136),"",D136/F136)</f>
        <v>0.247678018575851</v>
      </c>
    </row>
    <row collapsed="false" customFormat="true" customHeight="false" hidden="false" ht="14" outlineLevel="0" r="137" s="270">
      <c r="A137" s="269"/>
      <c r="B137" s="289" t="str">
        <f aca="false">5_Produccion_Desagregada_09_10!$C$38</f>
        <v>Hematología</v>
      </c>
      <c r="C137" s="290" t="str">
        <f aca="false">C$123</f>
        <v># de Ordenes</v>
      </c>
      <c r="D137" s="186" t="n">
        <v>57</v>
      </c>
      <c r="E137" s="291" t="n">
        <f aca="false">IF(ISERROR(D137/$D$133),"",D137/$D$133)</f>
        <v>0.0402826855123675</v>
      </c>
      <c r="F137" s="292" t="n">
        <f aca="false">5_Produccion_Desagregada_09_10!$F$38</f>
        <v>958</v>
      </c>
      <c r="G137" s="293" t="n">
        <f aca="false">IF(ISERROR(D137/F137),"",D137/F137)</f>
        <v>0.0594989561586639</v>
      </c>
    </row>
    <row collapsed="false" customFormat="true" customHeight="false" hidden="false" ht="14" outlineLevel="0" r="138" s="270">
      <c r="A138" s="269"/>
      <c r="B138" s="289" t="str">
        <f aca="false">5_Produccion_Desagregada_09_10!$C$39</f>
        <v>Oncología</v>
      </c>
      <c r="C138" s="290" t="str">
        <f aca="false">C$123</f>
        <v># de Ordenes</v>
      </c>
      <c r="D138" s="186" t="n">
        <v>144</v>
      </c>
      <c r="E138" s="291" t="n">
        <f aca="false">IF(ISERROR(D138/$D$133),"",D138/$D$133)</f>
        <v>0.101766784452297</v>
      </c>
      <c r="F138" s="292" t="n">
        <f aca="false">5_Produccion_Desagregada_09_10!$F$39</f>
        <v>708</v>
      </c>
      <c r="G138" s="293" t="n">
        <f aca="false">IF(ISERROR(D138/F138),"",D138/F138)</f>
        <v>0.203389830508475</v>
      </c>
    </row>
    <row collapsed="false" customFormat="true" customHeight="false" hidden="false" ht="14" outlineLevel="0" r="139" s="270">
      <c r="A139" s="269"/>
      <c r="B139" s="289" t="str">
        <f aca="false">5_Produccion_Desagregada_09_10!$C$40</f>
        <v>Neonatología</v>
      </c>
      <c r="C139" s="290" t="str">
        <f aca="false">C$123</f>
        <v># de Ordenes</v>
      </c>
      <c r="D139" s="186" t="n">
        <v>180</v>
      </c>
      <c r="E139" s="291" t="n">
        <f aca="false">IF(ISERROR(D139/$D$133),"",D139/$D$133)</f>
        <v>0.127208480565371</v>
      </c>
      <c r="F139" s="292" t="n">
        <f aca="false">5_Produccion_Desagregada_09_10!$F$40</f>
        <v>711</v>
      </c>
      <c r="G139" s="293" t="n">
        <f aca="false">IF(ISERROR(D139/F139),"",D139/F139)</f>
        <v>0.253164556962025</v>
      </c>
    </row>
    <row collapsed="false" customFormat="true" customHeight="false" hidden="false" ht="14" outlineLevel="0" r="140" s="270">
      <c r="A140" s="269"/>
      <c r="B140" s="289" t="str">
        <f aca="false">5_Produccion_Desagregada_09_10!$C$42</f>
        <v>Cirugía General</v>
      </c>
      <c r="C140" s="290" t="str">
        <f aca="false">C$123</f>
        <v># de Ordenes</v>
      </c>
      <c r="D140" s="186" t="n">
        <v>112</v>
      </c>
      <c r="E140" s="291" t="n">
        <f aca="false">IF(ISERROR(D140/$D$133),"",D140/$D$133)</f>
        <v>0.0791519434628975</v>
      </c>
      <c r="F140" s="292" t="n">
        <f aca="false">5_Produccion_Desagregada_09_10!$F$42</f>
        <v>2410</v>
      </c>
      <c r="G140" s="293" t="n">
        <f aca="false">IF(ISERROR(D140/F140),"",D140/F140)</f>
        <v>0.0464730290456432</v>
      </c>
    </row>
    <row collapsed="false" customFormat="true" customHeight="false" hidden="false" ht="14" outlineLevel="0" r="141" s="270">
      <c r="A141" s="269"/>
      <c r="B141" s="289" t="str">
        <f aca="false">5_Produccion_Desagregada_09_10!$C$43</f>
        <v>Cirugía Plastica</v>
      </c>
      <c r="C141" s="290" t="str">
        <f aca="false">C$123</f>
        <v># de Ordenes</v>
      </c>
      <c r="D141" s="186" t="n">
        <v>86</v>
      </c>
      <c r="E141" s="291" t="n">
        <f aca="false">IF(ISERROR(D141/$D$133),"",D141/$D$133)</f>
        <v>0.0607773851590106</v>
      </c>
      <c r="F141" s="292" t="n">
        <f aca="false">5_Produccion_Desagregada_09_10!$F$43</f>
        <v>962</v>
      </c>
      <c r="G141" s="293" t="n">
        <f aca="false">IF(ISERROR(D141/F141),"",D141/F141)</f>
        <v>0.0893970893970894</v>
      </c>
    </row>
    <row collapsed="false" customFormat="true" customHeight="false" hidden="false" ht="14" outlineLevel="0" r="142" s="270">
      <c r="A142" s="269"/>
      <c r="B142" s="289" t="str">
        <f aca="false">5_Produccion_Desagregada_09_10!$C$44</f>
        <v>Neurocirugía</v>
      </c>
      <c r="C142" s="290" t="str">
        <f aca="false">C$123</f>
        <v># de Ordenes</v>
      </c>
      <c r="D142" s="186" t="n">
        <v>111</v>
      </c>
      <c r="E142" s="291" t="n">
        <f aca="false">IF(ISERROR(D142/$D$133),"",D142/$D$133)</f>
        <v>0.0784452296819788</v>
      </c>
      <c r="F142" s="292" t="n">
        <f aca="false">5_Produccion_Desagregada_09_10!$F$44</f>
        <v>1152</v>
      </c>
      <c r="G142" s="293" t="n">
        <f aca="false">IF(ISERROR(D142/F142),"",D142/F142)</f>
        <v>0.0963541666666667</v>
      </c>
    </row>
    <row collapsed="false" customFormat="true" customHeight="false" hidden="false" ht="14" outlineLevel="0" r="143" s="270">
      <c r="A143" s="269"/>
      <c r="B143" s="289" t="str">
        <f aca="false">5_Produccion_Desagregada_09_10!$C$45</f>
        <v>Oftalmología</v>
      </c>
      <c r="C143" s="290" t="str">
        <f aca="false">C$123</f>
        <v># de Ordenes</v>
      </c>
      <c r="D143" s="186" t="n">
        <v>69</v>
      </c>
      <c r="E143" s="291" t="n">
        <f aca="false">IF(ISERROR(D143/$D$133),"",D143/$D$133)</f>
        <v>0.0487632508833922</v>
      </c>
      <c r="F143" s="292" t="n">
        <f aca="false">5_Produccion_Desagregada_09_10!$F$45</f>
        <v>905</v>
      </c>
      <c r="G143" s="293" t="n">
        <f aca="false">IF(ISERROR(D143/F143),"",D143/F143)</f>
        <v>0.0762430939226519</v>
      </c>
    </row>
    <row collapsed="false" customFormat="true" customHeight="false" hidden="false" ht="14" outlineLevel="0" r="144" s="270">
      <c r="A144" s="269"/>
      <c r="B144" s="289" t="str">
        <f aca="false">5_Produccion_Desagregada_09_10!$C$46</f>
        <v>Otorrinolaringología</v>
      </c>
      <c r="C144" s="290" t="str">
        <f aca="false">C$123</f>
        <v># de Ordenes</v>
      </c>
      <c r="D144" s="186" t="n">
        <v>0</v>
      </c>
      <c r="E144" s="291" t="n">
        <f aca="false">IF(ISERROR(D144/$D$133),"",D144/$D$133)</f>
        <v>0</v>
      </c>
      <c r="F144" s="292" t="n">
        <f aca="false">5_Produccion_Desagregada_09_10!$F$46</f>
        <v>1131</v>
      </c>
      <c r="G144" s="293" t="n">
        <f aca="false">IF(ISERROR(D144/F144),"",D144/F144)</f>
        <v>0</v>
      </c>
    </row>
    <row collapsed="false" customFormat="true" customHeight="false" hidden="false" ht="14" outlineLevel="0" r="145" s="270">
      <c r="A145" s="269"/>
      <c r="B145" s="289" t="str">
        <f aca="false">5_Produccion_Desagregada_09_10!$C$47</f>
        <v>Ortopedia</v>
      </c>
      <c r="C145" s="290" t="str">
        <f aca="false">C$123</f>
        <v># de Ordenes</v>
      </c>
      <c r="D145" s="186" t="n">
        <v>56</v>
      </c>
      <c r="E145" s="291" t="n">
        <f aca="false">IF(ISERROR(D145/$D$133),"",D145/$D$133)</f>
        <v>0.0395759717314488</v>
      </c>
      <c r="F145" s="292" t="n">
        <f aca="false">5_Produccion_Desagregada_09_10!$F$47</f>
        <v>706</v>
      </c>
      <c r="G145" s="293" t="n">
        <f aca="false">IF(ISERROR(D145/F145),"",D145/F145)</f>
        <v>0.0793201133144476</v>
      </c>
    </row>
    <row collapsed="false" customFormat="true" customHeight="false" hidden="false" ht="14" outlineLevel="0" r="146" s="270">
      <c r="A146" s="269"/>
      <c r="B146" s="289" t="str">
        <f aca="false">5_Produccion_Desagregada_09_10!$C$48</f>
        <v>Otros Servicios (Convenios / BM / ISSS)</v>
      </c>
      <c r="C146" s="290" t="str">
        <f aca="false">C$123</f>
        <v># de Ordenes</v>
      </c>
      <c r="D146" s="186" t="n">
        <v>116</v>
      </c>
      <c r="E146" s="291" t="n">
        <f aca="false">IF(ISERROR(D146/$D$133),"",D146/$D$133)</f>
        <v>0.0819787985865724</v>
      </c>
      <c r="F146" s="292" t="n">
        <f aca="false">5_Produccion_Desagregada_09_10!$F$48</f>
        <v>1073</v>
      </c>
      <c r="G146" s="293" t="n">
        <f aca="false">IF(ISERROR(D146/F146),"",D146/F146)</f>
        <v>0.108108108108108</v>
      </c>
    </row>
    <row collapsed="false" customFormat="true" customHeight="false" hidden="false" ht="14" outlineLevel="0" r="147" s="270">
      <c r="A147" s="269"/>
      <c r="B147" s="298" t="str">
        <f aca="false">5_Produccion_Desagregada_09_10!$C$54</f>
        <v>Cuidados Criticos</v>
      </c>
      <c r="C147" s="299"/>
      <c r="D147" s="300" t="n">
        <f aca="false">SUM(D148:D150)</f>
        <v>446</v>
      </c>
      <c r="E147" s="299" t="inlineStr">
        <f aca="false">SUM(E148:E150)</f>
        <is>
          <t/>
        </is>
      </c>
      <c r="F147" s="300" t="n">
        <f aca="false">SUM(F148:F150)</f>
        <v>1642</v>
      </c>
      <c r="G147" s="301"/>
    </row>
    <row collapsed="false" customFormat="true" customHeight="false" hidden="false" ht="14" outlineLevel="0" r="148" s="270">
      <c r="A148" s="269"/>
      <c r="B148" s="289" t="str">
        <f aca="false">5_Produccion_Desagregada_09_10!$C$55</f>
        <v>Unidad de Cuidados Intensivos</v>
      </c>
      <c r="C148" s="290" t="str">
        <f aca="false">C$123</f>
        <v># de Ordenes</v>
      </c>
      <c r="D148" s="305" t="n">
        <v>196</v>
      </c>
      <c r="E148" s="291" t="n">
        <f aca="false">IF(ISERROR(D148/$D$147),"",D148/$D$147)</f>
        <v>0.439461883408072</v>
      </c>
      <c r="F148" s="292" t="n">
        <f aca="false">5_Produccion_Desagregada_09_10!$F$55</f>
        <v>926</v>
      </c>
      <c r="G148" s="293" t="n">
        <f aca="false">IF(ISERROR(D148/F148),"",D148/F148)</f>
        <v>0.211663066954644</v>
      </c>
    </row>
    <row collapsed="false" customFormat="true" customHeight="false" hidden="false" ht="14" outlineLevel="0" r="149" s="270">
      <c r="A149" s="269"/>
      <c r="B149" s="289" t="str">
        <f aca="false">5_Produccion_Desagregada_09_10!$C$56</f>
        <v>Unidad de Cuidados Intermedios</v>
      </c>
      <c r="C149" s="290" t="str">
        <f aca="false">C$123</f>
        <v># de Ordenes</v>
      </c>
      <c r="D149" s="305" t="n">
        <v>82</v>
      </c>
      <c r="E149" s="291" t="n">
        <f aca="false">IF(ISERROR(D149/$D$147),"",D149/$D$147)</f>
        <v>0.183856502242152</v>
      </c>
      <c r="F149" s="292" t="n">
        <f aca="false">5_Produccion_Desagregada_09_10!$F$56</f>
        <v>247</v>
      </c>
      <c r="G149" s="293" t="n">
        <f aca="false">IF(ISERROR(D149/F149),"",D149/F149)</f>
        <v>0.331983805668016</v>
      </c>
    </row>
    <row collapsed="false" customFormat="true" customHeight="false" hidden="false" ht="14" outlineLevel="0" r="150" s="270">
      <c r="A150" s="269"/>
      <c r="B150" s="302" t="str">
        <f aca="false">5_Produccion_Desagregada_09_10!$C$57</f>
        <v>Unidad de Cuidados Intensivos Neonatales</v>
      </c>
      <c r="C150" s="308" t="str">
        <f aca="false">C$123</f>
        <v># de Ordenes</v>
      </c>
      <c r="D150" s="306" t="n">
        <v>168</v>
      </c>
      <c r="E150" s="291" t="n">
        <f aca="false">IF(ISERROR(D150/$D$147),"",D150/$D$147)</f>
        <v>0.376681614349776</v>
      </c>
      <c r="F150" s="303" t="n">
        <f aca="false">5_Produccion_Desagregada_09_10!$F$57</f>
        <v>469</v>
      </c>
      <c r="G150" s="304" t="n">
        <f aca="false">IF(ISERROR(D150/F150),"",D150/F150)</f>
        <v>0.358208955223881</v>
      </c>
    </row>
    <row collapsed="false" customFormat="true" customHeight="false" hidden="false" ht="20.85" outlineLevel="0" r="151" s="270">
      <c r="A151" s="269" t="n">
        <v>4</v>
      </c>
      <c r="B151" s="277" t="s">
        <v>483</v>
      </c>
      <c r="C151" s="282" t="s">
        <v>484</v>
      </c>
      <c r="D151" s="282" t="str">
        <f aca="false">"Cantidad "&amp;C151&amp;" 2010"</f>
        <v>Cantidad Kilometros 2010</v>
      </c>
      <c r="E151" s="282" t="str">
        <f aca="false">"Porcentaje "&amp;C151&amp;" 2010"</f>
        <v>Porcentaje Kilometros 2010</v>
      </c>
      <c r="F151" s="282" t="s">
        <v>447</v>
      </c>
      <c r="G151" s="283" t="str">
        <f aca="false">C151&amp;" por Servicio Final"</f>
        <v>Kilometros por Servicio Final</v>
      </c>
    </row>
    <row collapsed="false" customFormat="true" customHeight="false" hidden="false" ht="14" outlineLevel="0" r="152" s="270">
      <c r="A152" s="269"/>
      <c r="B152" s="314" t="str">
        <f aca="false">5_Produccion_Desagregada_09_10!$C$5</f>
        <v>Servicios Ambulatorios</v>
      </c>
      <c r="C152" s="315"/>
      <c r="D152" s="316" t="n">
        <f aca="false">SUM(D153:D159)</f>
        <v>42706</v>
      </c>
      <c r="E152" s="317" t="inlineStr">
        <f aca="false">SUM(E153:E159)</f>
        <is>
          <t/>
        </is>
      </c>
      <c r="F152" s="316" t="n">
        <f aca="false">SUM(F154:F159)</f>
        <v>248597</v>
      </c>
      <c r="G152" s="318"/>
    </row>
    <row collapsed="false" customFormat="true" customHeight="false" hidden="false" ht="14" outlineLevel="0" r="153" s="270">
      <c r="A153" s="269"/>
      <c r="B153" s="289" t="str">
        <f aca="false">5_Produccion_Desagregada_09_10!$C$7</f>
        <v>Consulta General </v>
      </c>
      <c r="C153" s="290" t="str">
        <f aca="false">C$151</f>
        <v>Kilometros</v>
      </c>
      <c r="D153" s="305" t="n">
        <v>0</v>
      </c>
      <c r="E153" s="291" t="n">
        <f aca="false">IF(ISERROR(D153/$D$152),"",D153/$D$152)</f>
        <v>0</v>
      </c>
      <c r="F153" s="292" t="n">
        <f aca="false">5_Produccion_Desagregada_09_10!$F$7</f>
        <v>0</v>
      </c>
      <c r="G153" s="293" t="str">
        <f aca="false">IF(ISERROR(D153/F153),"",D153/F153)</f>
        <v/>
      </c>
    </row>
    <row collapsed="false" customFormat="true" customHeight="false" hidden="false" ht="14" outlineLevel="0" r="154" s="270">
      <c r="A154" s="269"/>
      <c r="B154" s="289" t="str">
        <f aca="false">5_Produccion_Desagregada_09_10!$C$9</f>
        <v>Consultas de Especializadades Básicas</v>
      </c>
      <c r="C154" s="290" t="str">
        <f aca="false">C$151</f>
        <v>Kilometros</v>
      </c>
      <c r="D154" s="305" t="n">
        <v>0</v>
      </c>
      <c r="E154" s="291" t="n">
        <f aca="false">IF(ISERROR(D154/$D$152),"",D154/$D$152)</f>
        <v>0</v>
      </c>
      <c r="F154" s="292" t="n">
        <f aca="false">5_Produccion_Desagregada_09_10!$F$9</f>
        <v>0</v>
      </c>
      <c r="G154" s="293" t="str">
        <f aca="false">IF(ISERROR(D154/F154),"",D154/F154)</f>
        <v/>
      </c>
    </row>
    <row collapsed="false" customFormat="true" customHeight="false" hidden="false" ht="14" outlineLevel="0" r="155" s="270">
      <c r="A155" s="269"/>
      <c r="B155" s="289" t="str">
        <f aca="false">5_Produccion_Desagregada_09_10!$C$12</f>
        <v>Consultas de Sub Especializadades</v>
      </c>
      <c r="C155" s="290" t="str">
        <f aca="false">C$151</f>
        <v>Kilometros</v>
      </c>
      <c r="D155" s="305" t="n">
        <v>21566</v>
      </c>
      <c r="E155" s="291" t="n">
        <f aca="false">IF(ISERROR(D155/$D$152),"",D155/$D$152)</f>
        <v>0.504987589565869</v>
      </c>
      <c r="F155" s="292" t="n">
        <f aca="false">5_Produccion_Desagregada_09_10!$F$12</f>
        <v>207721</v>
      </c>
      <c r="G155" s="293" t="n">
        <f aca="false">IF(ISERROR(D155/F155),"",D155/F155)</f>
        <v>0.103821953485685</v>
      </c>
    </row>
    <row collapsed="false" customFormat="true" customHeight="false" hidden="false" ht="14" outlineLevel="0" r="156" s="270">
      <c r="A156" s="269"/>
      <c r="B156" s="289" t="str">
        <f aca="false">5_Produccion_Desagregada_09_10!$C$17</f>
        <v>Consultas de Emergencia de Medicina Interna Pediatrica</v>
      </c>
      <c r="C156" s="290" t="str">
        <f aca="false">C$151</f>
        <v>Kilometros</v>
      </c>
      <c r="D156" s="305" t="n">
        <v>21140</v>
      </c>
      <c r="E156" s="291" t="n">
        <f aca="false">IF(ISERROR(D156/$D$152),"",D156/$D$152)</f>
        <v>0.495012410434131</v>
      </c>
      <c r="F156" s="292" t="n">
        <f aca="false">5_Produccion_Desagregada_09_10!$F$17</f>
        <v>9804</v>
      </c>
      <c r="G156" s="293" t="n">
        <f aca="false">IF(ISERROR(D156/F156),"",D156/F156)</f>
        <v>2.156262749898</v>
      </c>
    </row>
    <row collapsed="false" customFormat="true" customHeight="false" hidden="false" ht="14" outlineLevel="0" r="157" s="270">
      <c r="A157" s="269"/>
      <c r="B157" s="289" t="str">
        <f aca="false">5_Produccion_Desagregada_09_10!$C$18</f>
        <v>Consultas de Emergencia de Cirugia General Pediatrica</v>
      </c>
      <c r="C157" s="290" t="str">
        <f aca="false">C$151</f>
        <v>Kilometros</v>
      </c>
      <c r="D157" s="305" t="n">
        <v>0</v>
      </c>
      <c r="E157" s="291" t="n">
        <f aca="false">IF(ISERROR(D157/$D$152),"",D157/$D$152)</f>
        <v>0</v>
      </c>
      <c r="F157" s="292" t="n">
        <f aca="false">5_Produccion_Desagregada_09_10!$F$18</f>
        <v>13464</v>
      </c>
      <c r="G157" s="293" t="n">
        <f aca="false">IF(ISERROR(D157/F157),"",D157/F157)</f>
        <v>0</v>
      </c>
    </row>
    <row collapsed="false" customFormat="true" customHeight="false" hidden="false" ht="14" outlineLevel="0" r="158" s="270">
      <c r="A158" s="269"/>
      <c r="B158" s="289" t="str">
        <f aca="false">5_Produccion_Desagregada_09_10!$C$20</f>
        <v>Consulta de Odontologia General</v>
      </c>
      <c r="C158" s="290" t="str">
        <f aca="false">C$151</f>
        <v>Kilometros</v>
      </c>
      <c r="D158" s="305" t="n">
        <v>0</v>
      </c>
      <c r="E158" s="291" t="n">
        <f aca="false">IF(ISERROR(D158/$D$152),"",D158/$D$152)</f>
        <v>0</v>
      </c>
      <c r="F158" s="292" t="n">
        <f aca="false">5_Produccion_Desagregada_09_10!$F$20</f>
        <v>16487</v>
      </c>
      <c r="G158" s="293" t="n">
        <f aca="false">IF(ISERROR(D158/F158),"",D158/F158)</f>
        <v>0</v>
      </c>
    </row>
    <row collapsed="false" customFormat="true" customHeight="false" hidden="false" ht="14" outlineLevel="0" r="159" s="270">
      <c r="A159" s="269"/>
      <c r="B159" s="289" t="str">
        <f aca="false">5_Produccion_Desagregada_09_10!$C$21</f>
        <v>Consulta de Ortodoncia</v>
      </c>
      <c r="C159" s="290" t="str">
        <f aca="false">C$151</f>
        <v>Kilometros</v>
      </c>
      <c r="D159" s="305" t="n">
        <v>0</v>
      </c>
      <c r="E159" s="291" t="n">
        <f aca="false">IF(ISERROR(D159/$D$152),"",D159/$D$152)</f>
        <v>0</v>
      </c>
      <c r="F159" s="292" t="n">
        <f aca="false">5_Produccion_Desagregada_09_10!$F$21</f>
        <v>1121</v>
      </c>
      <c r="G159" s="293" t="n">
        <f aca="false">IF(ISERROR(D159/F159),"",D159/F159)</f>
        <v>0</v>
      </c>
    </row>
    <row collapsed="false" customFormat="true" customHeight="false" hidden="false" ht="14" outlineLevel="0" r="160" s="270">
      <c r="A160" s="269"/>
      <c r="B160" s="294" t="str">
        <f aca="false">5_Produccion_Desagregada_09_10!$C$32</f>
        <v>Servicios Hospitalarios </v>
      </c>
      <c r="C160" s="295"/>
      <c r="D160" s="296" t="n">
        <f aca="false">SUM(D161,D175)</f>
        <v>16519</v>
      </c>
      <c r="E160" s="295"/>
      <c r="F160" s="296" t="n">
        <f aca="false">SUM(F161,F175)</f>
        <v>16069</v>
      </c>
      <c r="G160" s="297"/>
    </row>
    <row collapsed="false" customFormat="true" customHeight="false" hidden="false" ht="14" outlineLevel="0" r="161" s="270">
      <c r="A161" s="269"/>
      <c r="B161" s="298" t="str">
        <f aca="false">5_Produccion_Desagregada_09_10!$C$33</f>
        <v>Egresos</v>
      </c>
      <c r="C161" s="299"/>
      <c r="D161" s="300" t="n">
        <f aca="false">SUM(D162:D174)</f>
        <v>11877</v>
      </c>
      <c r="E161" s="299" t="inlineStr">
        <f aca="false">SUM(E162:E174)</f>
        <is>
          <t/>
        </is>
      </c>
      <c r="F161" s="300" t="n">
        <f aca="false">SUM(F162:F174)</f>
        <v>14427</v>
      </c>
      <c r="G161" s="301"/>
    </row>
    <row collapsed="false" customFormat="true" customHeight="false" hidden="false" ht="14" outlineLevel="0" r="162" s="270">
      <c r="A162" s="269"/>
      <c r="B162" s="289" t="str">
        <f aca="false">5_Produccion_Desagregada_09_10!$C$35</f>
        <v>Medicina Interna </v>
      </c>
      <c r="C162" s="290" t="str">
        <f aca="false">C$151</f>
        <v>Kilometros</v>
      </c>
      <c r="D162" s="186" t="n">
        <v>410</v>
      </c>
      <c r="E162" s="291" t="n">
        <f aca="false">IF(ISERROR(D162/$D$161),"",D162/$D$161)</f>
        <v>0.0345205018102214</v>
      </c>
      <c r="F162" s="292" t="n">
        <f aca="false">5_Produccion_Desagregada_09_10!$F$35</f>
        <v>1106</v>
      </c>
      <c r="G162" s="293" t="n">
        <f aca="false">IF(ISERROR(D162/F162),"",D162/F162)</f>
        <v>0.370705244122966</v>
      </c>
    </row>
    <row collapsed="false" customFormat="true" customHeight="false" hidden="false" ht="14" outlineLevel="0" r="163" s="270">
      <c r="A163" s="269"/>
      <c r="B163" s="289" t="str">
        <f aca="false">5_Produccion_Desagregada_09_10!$C$36</f>
        <v>Infectología</v>
      </c>
      <c r="C163" s="290" t="str">
        <f aca="false">C$151</f>
        <v>Kilometros</v>
      </c>
      <c r="D163" s="186" t="n">
        <v>1978</v>
      </c>
      <c r="E163" s="291" t="n">
        <f aca="false">IF(ISERROR(D163/$D$161),"",D163/$D$161)</f>
        <v>0.166540372147849</v>
      </c>
      <c r="F163" s="292" t="n">
        <f aca="false">5_Produccion_Desagregada_09_10!$F$36</f>
        <v>2282</v>
      </c>
      <c r="G163" s="293" t="n">
        <f aca="false">IF(ISERROR(D163/F163),"",D163/F163)</f>
        <v>0.866783523225241</v>
      </c>
    </row>
    <row collapsed="false" customFormat="true" customHeight="false" hidden="false" ht="14" outlineLevel="0" r="164" s="270">
      <c r="A164" s="269"/>
      <c r="B164" s="289" t="str">
        <f aca="false">5_Produccion_Desagregada_09_10!$C$37</f>
        <v>Nefrología</v>
      </c>
      <c r="C164" s="290" t="str">
        <f aca="false">C$151</f>
        <v>Kilometros</v>
      </c>
      <c r="D164" s="186" t="n">
        <v>2442</v>
      </c>
      <c r="E164" s="291" t="n">
        <f aca="false">IF(ISERROR(D164/$D$161),"",D164/$D$161)</f>
        <v>0.205607476635514</v>
      </c>
      <c r="F164" s="292" t="n">
        <f aca="false">5_Produccion_Desagregada_09_10!$F$37</f>
        <v>323</v>
      </c>
      <c r="G164" s="293" t="n">
        <f aca="false">IF(ISERROR(D164/F164),"",D164/F164)</f>
        <v>7.56037151702786</v>
      </c>
    </row>
    <row collapsed="false" customFormat="true" customHeight="false" hidden="false" ht="14" outlineLevel="0" r="165" s="270">
      <c r="A165" s="269"/>
      <c r="B165" s="289" t="str">
        <f aca="false">5_Produccion_Desagregada_09_10!$C$38</f>
        <v>Hematología</v>
      </c>
      <c r="C165" s="290" t="str">
        <f aca="false">C$151</f>
        <v>Kilometros</v>
      </c>
      <c r="D165" s="186" t="n">
        <v>408</v>
      </c>
      <c r="E165" s="291" t="n">
        <f aca="false">IF(ISERROR(D165/$D$161),"",D165/$D$161)</f>
        <v>0.0343521091184643</v>
      </c>
      <c r="F165" s="292" t="n">
        <f aca="false">5_Produccion_Desagregada_09_10!$F$38</f>
        <v>958</v>
      </c>
      <c r="G165" s="293" t="n">
        <f aca="false">IF(ISERROR(D165/F165),"",D165/F165)</f>
        <v>0.425887265135699</v>
      </c>
    </row>
    <row collapsed="false" customFormat="true" customHeight="false" hidden="false" ht="14" outlineLevel="0" r="166" s="270">
      <c r="A166" s="269"/>
      <c r="B166" s="289" t="str">
        <f aca="false">5_Produccion_Desagregada_09_10!$C$39</f>
        <v>Oncología</v>
      </c>
      <c r="C166" s="290" t="str">
        <f aca="false">C$151</f>
        <v>Kilometros</v>
      </c>
      <c r="D166" s="186" t="n">
        <v>720</v>
      </c>
      <c r="E166" s="291" t="n">
        <f aca="false">IF(ISERROR(D166/$D$161),"",D166/$D$161)</f>
        <v>0.060621369032584</v>
      </c>
      <c r="F166" s="292" t="n">
        <f aca="false">5_Produccion_Desagregada_09_10!$F$39</f>
        <v>708</v>
      </c>
      <c r="G166" s="293" t="n">
        <f aca="false">IF(ISERROR(D166/F166),"",D166/F166)</f>
        <v>1.01694915254237</v>
      </c>
    </row>
    <row collapsed="false" customFormat="true" customHeight="false" hidden="false" ht="14" outlineLevel="0" r="167" s="270">
      <c r="A167" s="269"/>
      <c r="B167" s="289" t="str">
        <f aca="false">5_Produccion_Desagregada_09_10!$C$40</f>
        <v>Neonatología</v>
      </c>
      <c r="C167" s="290" t="str">
        <f aca="false">C$151</f>
        <v>Kilometros</v>
      </c>
      <c r="D167" s="186" t="n">
        <v>3848</v>
      </c>
      <c r="E167" s="291" t="n">
        <f aca="false">IF(ISERROR(D167/$D$161),"",D167/$D$161)</f>
        <v>0.32398753894081</v>
      </c>
      <c r="F167" s="292" t="n">
        <f aca="false">5_Produccion_Desagregada_09_10!$F$40</f>
        <v>711</v>
      </c>
      <c r="G167" s="293" t="n">
        <f aca="false">IF(ISERROR(D167/F167),"",D167/F167)</f>
        <v>5.41209563994374</v>
      </c>
    </row>
    <row collapsed="false" customFormat="true" customHeight="false" hidden="false" ht="14" outlineLevel="0" r="168" s="270">
      <c r="A168" s="269"/>
      <c r="B168" s="289" t="str">
        <f aca="false">5_Produccion_Desagregada_09_10!$C$42</f>
        <v>Cirugía General</v>
      </c>
      <c r="C168" s="290" t="str">
        <f aca="false">C$151</f>
        <v>Kilometros</v>
      </c>
      <c r="D168" s="186" t="n">
        <v>386</v>
      </c>
      <c r="E168" s="291" t="n">
        <f aca="false">IF(ISERROR(D168/$D$161),"",D168/$D$161)</f>
        <v>0.0324997895091353</v>
      </c>
      <c r="F168" s="292" t="n">
        <f aca="false">5_Produccion_Desagregada_09_10!$F$42</f>
        <v>2410</v>
      </c>
      <c r="G168" s="293" t="n">
        <f aca="false">IF(ISERROR(D168/F168),"",D168/F168)</f>
        <v>0.160165975103734</v>
      </c>
    </row>
    <row collapsed="false" customFormat="true" customHeight="false" hidden="false" ht="14" outlineLevel="0" r="169" s="270">
      <c r="A169" s="269"/>
      <c r="B169" s="289" t="str">
        <f aca="false">5_Produccion_Desagregada_09_10!$C$43</f>
        <v>Cirugía Plastica</v>
      </c>
      <c r="C169" s="290" t="str">
        <f aca="false">C$151</f>
        <v>Kilometros</v>
      </c>
      <c r="D169" s="186" t="n">
        <v>330</v>
      </c>
      <c r="E169" s="291" t="n">
        <f aca="false">IF(ISERROR(D169/$D$161),"",D169/$D$161)</f>
        <v>0.0277847941399343</v>
      </c>
      <c r="F169" s="292" t="n">
        <f aca="false">5_Produccion_Desagregada_09_10!$F$43</f>
        <v>962</v>
      </c>
      <c r="G169" s="293" t="n">
        <f aca="false">IF(ISERROR(D169/F169),"",D169/F169)</f>
        <v>0.343035343035343</v>
      </c>
    </row>
    <row collapsed="false" customFormat="true" customHeight="false" hidden="false" ht="14" outlineLevel="0" r="170" s="270">
      <c r="A170" s="269"/>
      <c r="B170" s="289" t="str">
        <f aca="false">5_Produccion_Desagregada_09_10!$C$44</f>
        <v>Neurocirugía</v>
      </c>
      <c r="C170" s="290" t="str">
        <f aca="false">C$151</f>
        <v>Kilometros</v>
      </c>
      <c r="D170" s="186" t="n">
        <v>630</v>
      </c>
      <c r="E170" s="291" t="n">
        <f aca="false">IF(ISERROR(D170/$D$161),"",D170/$D$161)</f>
        <v>0.053043697903511</v>
      </c>
      <c r="F170" s="292" t="n">
        <f aca="false">5_Produccion_Desagregada_09_10!$F$44</f>
        <v>1152</v>
      </c>
      <c r="G170" s="293" t="n">
        <f aca="false">IF(ISERROR(D170/F170),"",D170/F170)</f>
        <v>0.546875</v>
      </c>
    </row>
    <row collapsed="false" customFormat="true" customHeight="false" hidden="false" ht="14" outlineLevel="0" r="171" s="270">
      <c r="A171" s="269"/>
      <c r="B171" s="289" t="str">
        <f aca="false">5_Produccion_Desagregada_09_10!$C$45</f>
        <v>Oftalmología</v>
      </c>
      <c r="C171" s="290" t="str">
        <f aca="false">C$151</f>
        <v>Kilometros</v>
      </c>
      <c r="D171" s="186" t="n">
        <v>433</v>
      </c>
      <c r="E171" s="291" t="n">
        <f aca="false">IF(ISERROR(D171/$D$161),"",D171/$D$161)</f>
        <v>0.036457017765429</v>
      </c>
      <c r="F171" s="292" t="n">
        <f aca="false">5_Produccion_Desagregada_09_10!$F$45</f>
        <v>905</v>
      </c>
      <c r="G171" s="293" t="n">
        <f aca="false">IF(ISERROR(D171/F171),"",D171/F171)</f>
        <v>0.478453038674033</v>
      </c>
    </row>
    <row collapsed="false" customFormat="true" customHeight="false" hidden="false" ht="14" outlineLevel="0" r="172" s="270">
      <c r="A172" s="269"/>
      <c r="B172" s="289" t="str">
        <f aca="false">5_Produccion_Desagregada_09_10!$C$46</f>
        <v>Otorrinolaringología</v>
      </c>
      <c r="C172" s="290" t="str">
        <f aca="false">C$151</f>
        <v>Kilometros</v>
      </c>
      <c r="D172" s="186" t="n">
        <v>114</v>
      </c>
      <c r="E172" s="291" t="n">
        <f aca="false">IF(ISERROR(D172/$D$161),"",D172/$D$161)</f>
        <v>0.00959838343015913</v>
      </c>
      <c r="F172" s="292" t="n">
        <f aca="false">5_Produccion_Desagregada_09_10!$F$46</f>
        <v>1131</v>
      </c>
      <c r="G172" s="293" t="n">
        <f aca="false">IF(ISERROR(D172/F172),"",D172/F172)</f>
        <v>0.10079575596817</v>
      </c>
    </row>
    <row collapsed="false" customFormat="true" customHeight="false" hidden="false" ht="14" outlineLevel="0" r="173" s="270">
      <c r="A173" s="269"/>
      <c r="B173" s="289" t="str">
        <f aca="false">5_Produccion_Desagregada_09_10!$C$47</f>
        <v>Ortopedia</v>
      </c>
      <c r="C173" s="290" t="str">
        <f aca="false">C$151</f>
        <v>Kilometros</v>
      </c>
      <c r="D173" s="186" t="n">
        <v>178</v>
      </c>
      <c r="E173" s="291" t="n">
        <f aca="false">IF(ISERROR(D173/$D$161),"",D173/$D$161)</f>
        <v>0.0149869495663888</v>
      </c>
      <c r="F173" s="292" t="n">
        <f aca="false">5_Produccion_Desagregada_09_10!$F$47</f>
        <v>706</v>
      </c>
      <c r="G173" s="293" t="n">
        <f aca="false">IF(ISERROR(D173/F173),"",D173/F173)</f>
        <v>0.252124645892351</v>
      </c>
    </row>
    <row collapsed="false" customFormat="true" customHeight="false" hidden="false" ht="14" outlineLevel="0" r="174" s="270">
      <c r="A174" s="269"/>
      <c r="B174" s="289" t="str">
        <f aca="false">5_Produccion_Desagregada_09_10!$C$48</f>
        <v>Otros Servicios (Convenios / BM / ISSS)</v>
      </c>
      <c r="C174" s="290" t="str">
        <f aca="false">C$151</f>
        <v>Kilometros</v>
      </c>
      <c r="D174" s="186" t="n">
        <v>0</v>
      </c>
      <c r="E174" s="291" t="n">
        <f aca="false">IF(ISERROR(D174/$D$161),"",D174/$D$161)</f>
        <v>0</v>
      </c>
      <c r="F174" s="292" t="n">
        <f aca="false">5_Produccion_Desagregada_09_10!$F$48</f>
        <v>1073</v>
      </c>
      <c r="G174" s="293" t="n">
        <f aca="false">IF(ISERROR(D174/F174),"",D174/F174)</f>
        <v>0</v>
      </c>
    </row>
    <row collapsed="false" customFormat="true" customHeight="false" hidden="false" ht="14" outlineLevel="0" r="175" s="270">
      <c r="A175" s="269"/>
      <c r="B175" s="298" t="str">
        <f aca="false">5_Produccion_Desagregada_09_10!$C$54</f>
        <v>Cuidados Criticos</v>
      </c>
      <c r="C175" s="299"/>
      <c r="D175" s="300" t="n">
        <f aca="false">SUM(D176:D178)</f>
        <v>4642</v>
      </c>
      <c r="E175" s="299" t="inlineStr">
        <f aca="false">SUM(E176:E178)</f>
        <is>
          <t/>
        </is>
      </c>
      <c r="F175" s="300" t="n">
        <f aca="false">SUM(F176:F178)</f>
        <v>1642</v>
      </c>
      <c r="G175" s="301"/>
    </row>
    <row collapsed="false" customFormat="true" customHeight="false" hidden="false" ht="14" outlineLevel="0" r="176" s="270">
      <c r="A176" s="269"/>
      <c r="B176" s="289" t="str">
        <f aca="false">5_Produccion_Desagregada_09_10!$C$55</f>
        <v>Unidad de Cuidados Intensivos</v>
      </c>
      <c r="C176" s="290" t="str">
        <f aca="false">C$151</f>
        <v>Kilometros</v>
      </c>
      <c r="D176" s="305" t="n">
        <v>1018</v>
      </c>
      <c r="E176" s="291" t="n">
        <f aca="false">IF(ISERROR(D176/$D$175),"",D176/$D$175)</f>
        <v>0.219302024989229</v>
      </c>
      <c r="F176" s="292" t="n">
        <f aca="false">5_Produccion_Desagregada_09_10!$F$55</f>
        <v>926</v>
      </c>
      <c r="G176" s="293" t="n">
        <f aca="false">IF(ISERROR(D176/F176),"",D176/F176)</f>
        <v>1.09935205183585</v>
      </c>
    </row>
    <row collapsed="false" customFormat="true" customHeight="false" hidden="false" ht="14" outlineLevel="0" r="177" s="270">
      <c r="A177" s="269"/>
      <c r="B177" s="289" t="str">
        <f aca="false">5_Produccion_Desagregada_09_10!$C$56</f>
        <v>Unidad de Cuidados Intermedios</v>
      </c>
      <c r="C177" s="290" t="str">
        <f aca="false">C$151</f>
        <v>Kilometros</v>
      </c>
      <c r="D177" s="305" t="n">
        <v>662</v>
      </c>
      <c r="E177" s="291" t="n">
        <f aca="false">IF(ISERROR(D177/$D$175),"",D177/$D$175)</f>
        <v>0.142610943558811</v>
      </c>
      <c r="F177" s="292" t="n">
        <f aca="false">5_Produccion_Desagregada_09_10!$F$56</f>
        <v>247</v>
      </c>
      <c r="G177" s="293" t="n">
        <f aca="false">IF(ISERROR(D177/F177),"",D177/F177)</f>
        <v>2.68016194331984</v>
      </c>
    </row>
    <row collapsed="false" customFormat="true" customHeight="false" hidden="false" ht="14" outlineLevel="0" r="178" s="270">
      <c r="A178" s="269"/>
      <c r="B178" s="302" t="str">
        <f aca="false">5_Produccion_Desagregada_09_10!$C$57</f>
        <v>Unidad de Cuidados Intensivos Neonatales</v>
      </c>
      <c r="C178" s="308" t="str">
        <f aca="false">C$151</f>
        <v>Kilometros</v>
      </c>
      <c r="D178" s="306" t="n">
        <v>2962</v>
      </c>
      <c r="E178" s="309" t="n">
        <f aca="false">IF(ISERROR(D178/$D$175),"",D178/$D$175)</f>
        <v>0.63808703145196</v>
      </c>
      <c r="F178" s="303" t="n">
        <f aca="false">5_Produccion_Desagregada_09_10!$F$57</f>
        <v>469</v>
      </c>
      <c r="G178" s="304" t="n">
        <f aca="false">IF(ISERROR(D178/F178),"",D178/F178)</f>
        <v>6.31556503198294</v>
      </c>
    </row>
  </sheetData>
  <mergeCells count="1">
    <mergeCell ref="F4:G4"/>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sheetPr filterMode="false">
    <pageSetUpPr fitToPage="false"/>
  </sheetPr>
  <dimension ref="B1:N40"/>
  <sheetViews>
    <sheetView colorId="64" defaultGridColor="true" rightToLeft="false" showFormulas="false" showGridLines="true" showOutlineSymbols="true" showRowColHeaders="true" showZeros="true" tabSelected="false" topLeftCell="C22" view="normal" windowProtection="false" workbookViewId="0" zoomScale="100" zoomScaleNormal="100" zoomScalePageLayoutView="100">
      <selection activeCell="L33" activeCellId="0" pane="topLeft" sqref="L33"/>
    </sheetView>
  </sheetViews>
  <cols>
    <col collapsed="false" hidden="false" max="1" min="1" style="99" width="2.58039215686275"/>
    <col collapsed="false" hidden="false" max="2" min="2" style="99" width="38.156862745098"/>
    <col collapsed="false" hidden="false" max="6" min="3" style="99" width="11.4745098039216"/>
    <col collapsed="false" hidden="false" max="7" min="7" style="99" width="11.6156862745098"/>
    <col collapsed="false" hidden="false" max="9" min="8" style="99" width="11.4745098039216"/>
    <col collapsed="false" hidden="false" max="10" min="10" style="99" width="14.9137254901961"/>
    <col collapsed="false" hidden="false" max="257" min="11" style="99" width="11.4745098039216"/>
  </cols>
  <sheetData>
    <row collapsed="false" customFormat="false" customHeight="false" hidden="false" ht="15.2" outlineLevel="0" r="1">
      <c r="B1" s="101" t="s">
        <v>485</v>
      </c>
    </row>
    <row collapsed="false" customFormat="true" customHeight="false" hidden="false" ht="12.8" outlineLevel="0" r="3" s="132">
      <c r="B3" s="319" t="s">
        <v>486</v>
      </c>
      <c r="C3" s="320"/>
      <c r="D3" s="320"/>
    </row>
    <row collapsed="false" customFormat="true" customHeight="true" hidden="false" ht="20.25" outlineLevel="0" r="4" s="132">
      <c r="B4" s="321" t="s">
        <v>487</v>
      </c>
      <c r="C4" s="322" t="s">
        <v>488</v>
      </c>
      <c r="D4" s="322"/>
      <c r="E4" s="322" t="s">
        <v>489</v>
      </c>
      <c r="F4" s="322"/>
      <c r="G4" s="323" t="s">
        <v>490</v>
      </c>
      <c r="H4" s="323" t="s">
        <v>491</v>
      </c>
      <c r="I4" s="324" t="s">
        <v>492</v>
      </c>
    </row>
    <row collapsed="false" customFormat="true" customHeight="true" hidden="false" ht="20.25" outlineLevel="0" r="5" s="132">
      <c r="B5" s="321"/>
      <c r="C5" s="325" t="s">
        <v>493</v>
      </c>
      <c r="D5" s="325" t="s">
        <v>494</v>
      </c>
      <c r="E5" s="325" t="s">
        <v>493</v>
      </c>
      <c r="F5" s="325" t="s">
        <v>494</v>
      </c>
      <c r="G5" s="323"/>
      <c r="H5" s="323"/>
      <c r="I5" s="324"/>
      <c r="J5" s="326"/>
    </row>
    <row collapsed="false" customFormat="true" customHeight="false" hidden="false" ht="12.8" outlineLevel="0" r="6" s="132">
      <c r="B6" s="327" t="s">
        <v>495</v>
      </c>
      <c r="C6" s="328" t="n">
        <f aca="false">SUM(C7:C19)</f>
        <v>293</v>
      </c>
      <c r="D6" s="329" t="inlineStr">
        <f aca="false">SUM(D7:D19)</f>
        <is>
          <t/>
        </is>
      </c>
      <c r="E6" s="328" t="n">
        <f aca="false">SUM(E7:E19)</f>
        <v>289</v>
      </c>
      <c r="F6" s="329" t="inlineStr">
        <f aca="false">SUM(F7:F19)</f>
        <is>
          <t/>
        </is>
      </c>
      <c r="G6" s="330" t="n">
        <f aca="false">SUM(G7:G19)</f>
        <v>106945</v>
      </c>
      <c r="H6" s="330" t="n">
        <f aca="false">SUM(H7:H19)</f>
        <v>105485</v>
      </c>
      <c r="I6" s="331"/>
      <c r="J6" s="332"/>
    </row>
    <row collapsed="false" customFormat="true" customHeight="false" hidden="false" ht="12.8" outlineLevel="0" r="7" s="132">
      <c r="B7" s="333" t="str">
        <f aca="false">5_Produccion_Desagregada_09_10!C35</f>
        <v>Medicina Interna </v>
      </c>
      <c r="C7" s="334" t="n">
        <v>26</v>
      </c>
      <c r="D7" s="335" t="n">
        <f aca="false">IF(ISERROR(C7/C$6),"",C7/C$6)</f>
        <v>0.0887372013651877</v>
      </c>
      <c r="E7" s="334" t="n">
        <v>26</v>
      </c>
      <c r="F7" s="335" t="n">
        <f aca="false">IF(ISERROR(E7/E$6),"",E7/E$6)</f>
        <v>0.0899653979238754</v>
      </c>
      <c r="G7" s="336" t="n">
        <f aca="false">C7*365</f>
        <v>9490</v>
      </c>
      <c r="H7" s="336" t="n">
        <f aca="false">E7*365</f>
        <v>9490</v>
      </c>
      <c r="I7" s="337" t="n">
        <f aca="false">IF(ISERROR(E7/C7),"",E7/C7-1)</f>
        <v>0</v>
      </c>
      <c r="J7" s="332"/>
    </row>
    <row collapsed="false" customFormat="true" customHeight="false" hidden="false" ht="12.8" outlineLevel="0" r="8" s="132">
      <c r="B8" s="333" t="str">
        <f aca="false">5_Produccion_Desagregada_09_10!C36</f>
        <v>Infectología</v>
      </c>
      <c r="C8" s="334" t="n">
        <v>45</v>
      </c>
      <c r="D8" s="335" t="n">
        <f aca="false">IF(ISERROR(C8/C$6),"",C8/C$6)</f>
        <v>0.15358361774744</v>
      </c>
      <c r="E8" s="334" t="n">
        <v>45</v>
      </c>
      <c r="F8" s="335" t="n">
        <f aca="false">IF(ISERROR(E8/E$6),"",E8/E$6)</f>
        <v>0.155709342560554</v>
      </c>
      <c r="G8" s="336" t="n">
        <f aca="false">C8*365</f>
        <v>16425</v>
      </c>
      <c r="H8" s="336" t="n">
        <f aca="false">E8*365</f>
        <v>16425</v>
      </c>
      <c r="I8" s="337" t="n">
        <f aca="false">IF(ISERROR(E8/C8),"",E8/C8-1)</f>
        <v>0</v>
      </c>
      <c r="J8" s="332"/>
    </row>
    <row collapsed="false" customFormat="true" customHeight="false" hidden="false" ht="12.8" outlineLevel="0" r="9" s="132">
      <c r="B9" s="333" t="str">
        <f aca="false">5_Produccion_Desagregada_09_10!C37</f>
        <v>Nefrología</v>
      </c>
      <c r="C9" s="334" t="n">
        <v>9</v>
      </c>
      <c r="D9" s="335" t="n">
        <f aca="false">IF(ISERROR(C9/C$6),"",C9/C$6)</f>
        <v>0.0307167235494881</v>
      </c>
      <c r="E9" s="334" t="n">
        <v>9</v>
      </c>
      <c r="F9" s="335" t="n">
        <f aca="false">IF(ISERROR(E9/E$6),"",E9/E$6)</f>
        <v>0.0311418685121107</v>
      </c>
      <c r="G9" s="336" t="n">
        <f aca="false">C9*365</f>
        <v>3285</v>
      </c>
      <c r="H9" s="336" t="n">
        <f aca="false">E9*365</f>
        <v>3285</v>
      </c>
      <c r="I9" s="337" t="n">
        <f aca="false">IF(ISERROR(E9/C9),"",E9/C9-1)</f>
        <v>0</v>
      </c>
      <c r="J9" s="332"/>
    </row>
    <row collapsed="false" customFormat="true" customHeight="false" hidden="false" ht="12.8" outlineLevel="0" r="10" s="132">
      <c r="B10" s="333" t="str">
        <f aca="false">5_Produccion_Desagregada_09_10!C38</f>
        <v>Hematología</v>
      </c>
      <c r="C10" s="334" t="n">
        <v>18</v>
      </c>
      <c r="D10" s="335" t="n">
        <f aca="false">IF(ISERROR(C10/C$6),"",C10/C$6)</f>
        <v>0.0614334470989761</v>
      </c>
      <c r="E10" s="334" t="n">
        <v>18</v>
      </c>
      <c r="F10" s="335" t="n">
        <f aca="false">IF(ISERROR(E10/E$6),"",E10/E$6)</f>
        <v>0.0622837370242215</v>
      </c>
      <c r="G10" s="336" t="n">
        <f aca="false">C10*365</f>
        <v>6570</v>
      </c>
      <c r="H10" s="336" t="n">
        <f aca="false">E10*365</f>
        <v>6570</v>
      </c>
      <c r="I10" s="337" t="n">
        <f aca="false">IF(ISERROR(E10/C10),"",E10/C10-1)</f>
        <v>0</v>
      </c>
      <c r="J10" s="332"/>
    </row>
    <row collapsed="false" customFormat="true" customHeight="false" hidden="false" ht="12.8" outlineLevel="0" r="11" s="132">
      <c r="B11" s="333" t="str">
        <f aca="false">5_Produccion_Desagregada_09_10!C39</f>
        <v>Oncología</v>
      </c>
      <c r="C11" s="334" t="n">
        <v>24</v>
      </c>
      <c r="D11" s="335" t="n">
        <f aca="false">IF(ISERROR(C11/C$6),"",C11/C$6)</f>
        <v>0.0819112627986348</v>
      </c>
      <c r="E11" s="334" t="n">
        <v>24</v>
      </c>
      <c r="F11" s="335" t="n">
        <f aca="false">IF(ISERROR(E11/E$6),"",E11/E$6)</f>
        <v>0.0830449826989619</v>
      </c>
      <c r="G11" s="336" t="n">
        <f aca="false">C11*365</f>
        <v>8760</v>
      </c>
      <c r="H11" s="336" t="n">
        <f aca="false">E11*365</f>
        <v>8760</v>
      </c>
      <c r="I11" s="337" t="n">
        <f aca="false">IF(ISERROR(E11/C11),"",E11/C11-1)</f>
        <v>0</v>
      </c>
      <c r="J11" s="332"/>
    </row>
    <row collapsed="false" customFormat="true" customHeight="false" hidden="false" ht="12.8" outlineLevel="0" r="12" s="132">
      <c r="B12" s="333" t="str">
        <f aca="false">5_Produccion_Desagregada_09_10!C40</f>
        <v>Neonatología</v>
      </c>
      <c r="C12" s="334" t="n">
        <v>35</v>
      </c>
      <c r="D12" s="335" t="n">
        <f aca="false">IF(ISERROR(C12/C$6),"",C12/C$6)</f>
        <v>0.119453924914676</v>
      </c>
      <c r="E12" s="334" t="n">
        <v>35</v>
      </c>
      <c r="F12" s="335" t="n">
        <f aca="false">IF(ISERROR(E12/E$6),"",E12/E$6)</f>
        <v>0.121107266435986</v>
      </c>
      <c r="G12" s="336" t="n">
        <f aca="false">C12*365</f>
        <v>12775</v>
      </c>
      <c r="H12" s="336" t="n">
        <f aca="false">E12*365</f>
        <v>12775</v>
      </c>
      <c r="I12" s="337" t="n">
        <f aca="false">IF(ISERROR(E12/C12),"",E12/C12-1)</f>
        <v>0</v>
      </c>
      <c r="J12" s="332"/>
    </row>
    <row collapsed="false" customFormat="true" customHeight="false" hidden="false" ht="12.8" outlineLevel="0" r="13" s="132">
      <c r="B13" s="333" t="str">
        <f aca="false">5_Produccion_Desagregada_09_10!C42</f>
        <v>Cirugía General</v>
      </c>
      <c r="C13" s="334" t="n">
        <v>29</v>
      </c>
      <c r="D13" s="335" t="n">
        <f aca="false">IF(ISERROR(C13/C$6),"",C13/C$6)</f>
        <v>0.0989761092150171</v>
      </c>
      <c r="E13" s="334" t="n">
        <v>29</v>
      </c>
      <c r="F13" s="335" t="n">
        <f aca="false">IF(ISERROR(E13/E$6),"",E13/E$6)</f>
        <v>0.100346020761246</v>
      </c>
      <c r="G13" s="336" t="n">
        <f aca="false">C13*365</f>
        <v>10585</v>
      </c>
      <c r="H13" s="336" t="n">
        <f aca="false">E13*365</f>
        <v>10585</v>
      </c>
      <c r="I13" s="337" t="n">
        <f aca="false">IF(ISERROR(E13/C13),"",E13/C13-1)</f>
        <v>0</v>
      </c>
      <c r="J13" s="332"/>
    </row>
    <row collapsed="false" customFormat="true" customHeight="false" hidden="false" ht="12.8" outlineLevel="0" r="14" s="132">
      <c r="B14" s="333" t="str">
        <f aca="false">5_Produccion_Desagregada_09_10!C43</f>
        <v>Cirugía Plastica</v>
      </c>
      <c r="C14" s="334" t="n">
        <v>21</v>
      </c>
      <c r="D14" s="335" t="n">
        <f aca="false">IF(ISERROR(C14/C$6),"",C14/C$6)</f>
        <v>0.0716723549488055</v>
      </c>
      <c r="E14" s="334" t="n">
        <v>21</v>
      </c>
      <c r="F14" s="335" t="n">
        <f aca="false">IF(ISERROR(E14/E$6),"",E14/E$6)</f>
        <v>0.0726643598615917</v>
      </c>
      <c r="G14" s="336" t="n">
        <f aca="false">C14*365</f>
        <v>7665</v>
      </c>
      <c r="H14" s="336" t="n">
        <f aca="false">E14*365</f>
        <v>7665</v>
      </c>
      <c r="I14" s="337" t="n">
        <f aca="false">IF(ISERROR(E14/C14),"",E14/C14-1)</f>
        <v>0</v>
      </c>
      <c r="J14" s="332"/>
    </row>
    <row collapsed="false" customFormat="true" customHeight="false" hidden="false" ht="12.8" outlineLevel="0" r="15" s="132">
      <c r="B15" s="333" t="str">
        <f aca="false">5_Produccion_Desagregada_09_10!C44</f>
        <v>Neurocirugía</v>
      </c>
      <c r="C15" s="334" t="n">
        <v>29</v>
      </c>
      <c r="D15" s="335" t="n">
        <f aca="false">IF(ISERROR(C15/C$6),"",C15/C$6)</f>
        <v>0.0989761092150171</v>
      </c>
      <c r="E15" s="334" t="n">
        <v>29</v>
      </c>
      <c r="F15" s="335" t="n">
        <f aca="false">IF(ISERROR(E15/E$6),"",E15/E$6)</f>
        <v>0.100346020761246</v>
      </c>
      <c r="G15" s="336" t="n">
        <f aca="false">C15*365</f>
        <v>10585</v>
      </c>
      <c r="H15" s="336" t="n">
        <f aca="false">E15*365</f>
        <v>10585</v>
      </c>
      <c r="I15" s="337" t="n">
        <f aca="false">IF(ISERROR(E15/C15),"",E15/C15-1)</f>
        <v>0</v>
      </c>
      <c r="J15" s="332"/>
    </row>
    <row collapsed="false" customFormat="true" customHeight="false" hidden="false" ht="12.8" outlineLevel="0" r="16" s="132">
      <c r="B16" s="333" t="str">
        <f aca="false">5_Produccion_Desagregada_09_10!C45</f>
        <v>Oftalmología</v>
      </c>
      <c r="C16" s="334" t="n">
        <v>11</v>
      </c>
      <c r="D16" s="335" t="n">
        <f aca="false">IF(ISERROR(C16/C$6),"",C16/C$6)</f>
        <v>0.037542662116041</v>
      </c>
      <c r="E16" s="334" t="n">
        <v>7</v>
      </c>
      <c r="F16" s="335" t="n">
        <f aca="false">IF(ISERROR(E16/E$6),"",E16/E$6)</f>
        <v>0.0242214532871972</v>
      </c>
      <c r="G16" s="336" t="n">
        <f aca="false">C16*365</f>
        <v>4015</v>
      </c>
      <c r="H16" s="336" t="n">
        <f aca="false">E16*365</f>
        <v>2555</v>
      </c>
      <c r="I16" s="337" t="n">
        <f aca="false">IF(ISERROR(E16/C16),"",E16/C16-1)</f>
        <v>-0.363636363636364</v>
      </c>
      <c r="J16" s="332"/>
    </row>
    <row collapsed="false" customFormat="true" customHeight="false" hidden="false" ht="12.8" outlineLevel="0" r="17" s="132">
      <c r="B17" s="333" t="str">
        <f aca="false">5_Produccion_Desagregada_09_10!C46</f>
        <v>Otorrinolaringología</v>
      </c>
      <c r="C17" s="334" t="n">
        <v>11</v>
      </c>
      <c r="D17" s="335" t="n">
        <f aca="false">IF(ISERROR(C17/C$6),"",C17/C$6)</f>
        <v>0.037542662116041</v>
      </c>
      <c r="E17" s="334" t="n">
        <v>11</v>
      </c>
      <c r="F17" s="335" t="n">
        <f aca="false">IF(ISERROR(E17/E$6),"",E17/E$6)</f>
        <v>0.0380622837370242</v>
      </c>
      <c r="G17" s="336" t="n">
        <f aca="false">C17*365</f>
        <v>4015</v>
      </c>
      <c r="H17" s="336" t="n">
        <f aca="false">E17*365</f>
        <v>4015</v>
      </c>
      <c r="I17" s="337" t="n">
        <f aca="false">IF(ISERROR(E17/C17),"",E17/C17-1)</f>
        <v>0</v>
      </c>
      <c r="J17" s="332"/>
    </row>
    <row collapsed="false" customFormat="true" customHeight="false" hidden="false" ht="12.8" outlineLevel="0" r="18" s="132">
      <c r="B18" s="333" t="str">
        <f aca="false">5_Produccion_Desagregada_09_10!C47</f>
        <v>Ortopedia</v>
      </c>
      <c r="C18" s="334" t="n">
        <v>23</v>
      </c>
      <c r="D18" s="335" t="n">
        <f aca="false">IF(ISERROR(C18/C$6),"",C18/C$6)</f>
        <v>0.0784982935153584</v>
      </c>
      <c r="E18" s="334" t="n">
        <v>23</v>
      </c>
      <c r="F18" s="335" t="n">
        <f aca="false">IF(ISERROR(E18/E$6),"",E18/E$6)</f>
        <v>0.0795847750865052</v>
      </c>
      <c r="G18" s="336" t="n">
        <f aca="false">C18*365</f>
        <v>8395</v>
      </c>
      <c r="H18" s="336" t="n">
        <f aca="false">E18*365</f>
        <v>8395</v>
      </c>
      <c r="I18" s="337" t="n">
        <f aca="false">IF(ISERROR(E18/C18),"",E18/C18-1)</f>
        <v>0</v>
      </c>
      <c r="J18" s="332"/>
    </row>
    <row collapsed="false" customFormat="true" customHeight="false" hidden="false" ht="12.8" outlineLevel="0" r="19" s="132">
      <c r="B19" s="333" t="str">
        <f aca="false">5_Produccion_Desagregada_09_10!C48</f>
        <v>Otros Servicios (Convenios / BM / ISSS)</v>
      </c>
      <c r="C19" s="334" t="n">
        <v>12</v>
      </c>
      <c r="D19" s="335" t="n">
        <f aca="false">IF(ISERROR(C19/C$6),"",C19/C$6)</f>
        <v>0.0409556313993174</v>
      </c>
      <c r="E19" s="334" t="n">
        <v>12</v>
      </c>
      <c r="F19" s="335" t="n">
        <f aca="false">IF(ISERROR(E19/E$6),"",E19/E$6)</f>
        <v>0.041522491349481</v>
      </c>
      <c r="G19" s="336" t="n">
        <f aca="false">C19*365</f>
        <v>4380</v>
      </c>
      <c r="H19" s="336" t="n">
        <f aca="false">E19*365</f>
        <v>4380</v>
      </c>
      <c r="I19" s="337" t="n">
        <f aca="false">IF(ISERROR(E19/C19),"",E19/C19-1)</f>
        <v>0</v>
      </c>
      <c r="J19" s="332"/>
    </row>
    <row collapsed="false" customFormat="true" customHeight="false" hidden="false" ht="12.8" outlineLevel="0" r="20" s="132">
      <c r="B20" s="338" t="s">
        <v>496</v>
      </c>
      <c r="C20" s="339" t="n">
        <f aca="false">SUM(C21,C25)</f>
        <v>108</v>
      </c>
      <c r="D20" s="340"/>
      <c r="E20" s="339"/>
      <c r="F20" s="340"/>
      <c r="G20" s="339"/>
      <c r="H20" s="339"/>
      <c r="I20" s="341"/>
    </row>
    <row collapsed="false" customFormat="true" customHeight="false" hidden="false" ht="12.8" outlineLevel="0" r="21" s="132">
      <c r="B21" s="342" t="str">
        <f aca="false">"1) "&amp;5_Produccion_Desagregada_09_10!C54&amp;""</f>
        <v>1) Cuidados Criticos</v>
      </c>
      <c r="C21" s="343" t="n">
        <f aca="false">SUM(C22:C24)</f>
        <v>34</v>
      </c>
      <c r="D21" s="344" t="inlineStr">
        <f aca="false">SUM(D22:D24)</f>
        <is>
          <t/>
        </is>
      </c>
      <c r="E21" s="343" t="n">
        <f aca="false">SUM(E22:E24)</f>
        <v>34</v>
      </c>
      <c r="F21" s="344" t="inlineStr">
        <f aca="false">SUM(F22:F24)</f>
        <is>
          <t/>
        </is>
      </c>
      <c r="G21" s="343" t="n">
        <f aca="false">SUM(G22:G24)</f>
        <v>12410</v>
      </c>
      <c r="H21" s="343" t="n">
        <f aca="false">SUM(H22:H24)</f>
        <v>12410</v>
      </c>
      <c r="I21" s="345"/>
    </row>
    <row collapsed="false" customFormat="true" customHeight="false" hidden="false" ht="12.8" outlineLevel="0" r="22" s="132">
      <c r="B22" s="333" t="str">
        <f aca="false">5_Produccion_Desagregada_09_10!C55</f>
        <v>Unidad de Cuidados Intensivos</v>
      </c>
      <c r="C22" s="346" t="n">
        <v>16</v>
      </c>
      <c r="D22" s="335" t="n">
        <f aca="false">IF(ISERROR(C22/C$21),"",C22/C$21)</f>
        <v>0.470588235294118</v>
      </c>
      <c r="E22" s="346" t="n">
        <v>16</v>
      </c>
      <c r="F22" s="335" t="n">
        <f aca="false">IF(ISERROR(E22/E$21),"",E22/E$21)</f>
        <v>0.470588235294118</v>
      </c>
      <c r="G22" s="336" t="n">
        <f aca="false">C22*365</f>
        <v>5840</v>
      </c>
      <c r="H22" s="336" t="n">
        <f aca="false">E22*365</f>
        <v>5840</v>
      </c>
      <c r="I22" s="337" t="n">
        <f aca="false">IF(ISERROR(E22/C22),"",E22/C22-1)</f>
        <v>0</v>
      </c>
    </row>
    <row collapsed="false" customFormat="true" customHeight="false" hidden="false" ht="12.8" outlineLevel="0" r="23" s="132">
      <c r="B23" s="333" t="str">
        <f aca="false">5_Produccion_Desagregada_09_10!C56</f>
        <v>Unidad de Cuidados Intermedios</v>
      </c>
      <c r="C23" s="346" t="n">
        <v>6</v>
      </c>
      <c r="D23" s="335" t="n">
        <f aca="false">IF(ISERROR(C23/C$21),"",C23/C$21)</f>
        <v>0.176470588235294</v>
      </c>
      <c r="E23" s="346" t="n">
        <v>6</v>
      </c>
      <c r="F23" s="335" t="n">
        <f aca="false">IF(ISERROR(E23/E$21),"",E23/E$21)</f>
        <v>0.176470588235294</v>
      </c>
      <c r="G23" s="336" t="n">
        <f aca="false">C23*365</f>
        <v>2190</v>
      </c>
      <c r="H23" s="336" t="n">
        <f aca="false">E23*365</f>
        <v>2190</v>
      </c>
      <c r="I23" s="337" t="n">
        <f aca="false">IF(ISERROR(E23/C23),"",E23/C23-1)</f>
        <v>0</v>
      </c>
    </row>
    <row collapsed="false" customFormat="true" customHeight="false" hidden="false" ht="12.8" outlineLevel="0" r="24" s="132">
      <c r="B24" s="333" t="str">
        <f aca="false">5_Produccion_Desagregada_09_10!C57</f>
        <v>Unidad de Cuidados Intensivos Neonatales</v>
      </c>
      <c r="C24" s="346" t="n">
        <v>12</v>
      </c>
      <c r="D24" s="335" t="n">
        <f aca="false">IF(ISERROR(C24/C$21),"",C24/C$21)</f>
        <v>0.352941176470588</v>
      </c>
      <c r="E24" s="346" t="n">
        <v>12</v>
      </c>
      <c r="F24" s="335" t="n">
        <f aca="false">IF(ISERROR(E24/E$21),"",E24/E$21)</f>
        <v>0.352941176470588</v>
      </c>
      <c r="G24" s="336" t="n">
        <f aca="false">C24*365</f>
        <v>4380</v>
      </c>
      <c r="H24" s="336" t="n">
        <f aca="false">E24*365</f>
        <v>4380</v>
      </c>
      <c r="I24" s="337" t="n">
        <f aca="false">IF(ISERROR(E24/C24),"",E24/C24-1)</f>
        <v>0</v>
      </c>
    </row>
    <row collapsed="false" customFormat="true" customHeight="false" hidden="false" ht="12.8" outlineLevel="0" r="25" s="132">
      <c r="B25" s="342" t="s">
        <v>497</v>
      </c>
      <c r="C25" s="343" t="n">
        <f aca="false">SUM(C26:C28)</f>
        <v>74</v>
      </c>
      <c r="D25" s="344" t="inlineStr">
        <f aca="false">SUM(D26:D28)</f>
        <is>
          <t/>
        </is>
      </c>
      <c r="E25" s="343" t="n">
        <f aca="false">SUM(E26:E28)</f>
        <v>78</v>
      </c>
      <c r="F25" s="344" t="inlineStr">
        <f aca="false">SUM(F26:F28)</f>
        <is>
          <t/>
        </is>
      </c>
      <c r="G25" s="343" t="n">
        <f aca="false">SUM(G26:G28)</f>
        <v>27010</v>
      </c>
      <c r="H25" s="343" t="n">
        <f aca="false">SUM(H26:H28)</f>
        <v>28470</v>
      </c>
      <c r="I25" s="345"/>
    </row>
    <row collapsed="false" customFormat="true" customHeight="false" hidden="false" ht="12.8" outlineLevel="0" r="26" s="132">
      <c r="B26" s="333" t="s">
        <v>498</v>
      </c>
      <c r="C26" s="346" t="n">
        <v>12</v>
      </c>
      <c r="D26" s="335" t="n">
        <f aca="false">IF(ISERROR(C26/C$25),"",C26/C$25)</f>
        <v>0.162162162162162</v>
      </c>
      <c r="E26" s="346" t="n">
        <v>12</v>
      </c>
      <c r="F26" s="335" t="n">
        <f aca="false">IF(ISERROR(E26/E$25),"",E26/E$25)</f>
        <v>0.153846153846154</v>
      </c>
      <c r="G26" s="336" t="n">
        <f aca="false">C26*365</f>
        <v>4380</v>
      </c>
      <c r="H26" s="336" t="n">
        <f aca="false">E26*365</f>
        <v>4380</v>
      </c>
      <c r="I26" s="337" t="n">
        <f aca="false">IF(ISERROR(E26/C26),"",E26/C26-1)</f>
        <v>0</v>
      </c>
    </row>
    <row collapsed="false" customFormat="true" customHeight="false" hidden="false" ht="12.8" outlineLevel="0" r="27" s="132">
      <c r="B27" s="333" t="s">
        <v>499</v>
      </c>
      <c r="C27" s="346" t="n">
        <v>57</v>
      </c>
      <c r="D27" s="335" t="n">
        <f aca="false">IF(ISERROR(C27/C$25),"",C27/C$25)</f>
        <v>0.77027027027027</v>
      </c>
      <c r="E27" s="346" t="n">
        <v>61</v>
      </c>
      <c r="F27" s="335" t="n">
        <f aca="false">IF(ISERROR(E27/E$25),"",E27/E$25)</f>
        <v>0.782051282051282</v>
      </c>
      <c r="G27" s="336" t="n">
        <f aca="false">C27*365</f>
        <v>20805</v>
      </c>
      <c r="H27" s="336" t="n">
        <f aca="false">E27*365</f>
        <v>22265</v>
      </c>
      <c r="I27" s="337" t="n">
        <f aca="false">IF(ISERROR(E27/C27),"",E27/C27-1)</f>
        <v>0.0701754385964912</v>
      </c>
    </row>
    <row collapsed="false" customFormat="true" customHeight="false" hidden="false" ht="12.8" outlineLevel="0" r="28" s="132">
      <c r="B28" s="347" t="s">
        <v>500</v>
      </c>
      <c r="C28" s="348" t="n">
        <v>5</v>
      </c>
      <c r="D28" s="349" t="n">
        <f aca="false">IF(ISERROR(C28/C$25),"",C28/C$25)</f>
        <v>0.0675675675675676</v>
      </c>
      <c r="E28" s="348" t="n">
        <v>5</v>
      </c>
      <c r="F28" s="349" t="n">
        <f aca="false">IF(ISERROR(E28/E$25),"",E28/E$25)</f>
        <v>0.0641025641025641</v>
      </c>
      <c r="G28" s="350" t="n">
        <f aca="false">C28*365</f>
        <v>1825</v>
      </c>
      <c r="H28" s="350" t="n">
        <f aca="false">E28*365</f>
        <v>1825</v>
      </c>
      <c r="I28" s="351" t="n">
        <f aca="false">IF(ISERROR(E28/C28),"",E28/C28-1)</f>
        <v>0</v>
      </c>
    </row>
    <row collapsed="false" customFormat="true" customHeight="false" hidden="false" ht="12.8" outlineLevel="0" r="29" s="132"/>
    <row collapsed="false" customFormat="true" customHeight="false" hidden="false" ht="12.8" outlineLevel="0" r="30" s="132">
      <c r="B30" s="319" t="s">
        <v>501</v>
      </c>
      <c r="M30" s="352"/>
      <c r="N30" s="352"/>
    </row>
    <row collapsed="false" customFormat="true" customHeight="true" hidden="false" ht="12.75" outlineLevel="0" r="31" s="132">
      <c r="B31" s="353" t="s">
        <v>502</v>
      </c>
      <c r="C31" s="354" t="s">
        <v>488</v>
      </c>
      <c r="D31" s="354"/>
      <c r="E31" s="354"/>
      <c r="F31" s="354"/>
      <c r="G31" s="354"/>
      <c r="H31" s="354" t="s">
        <v>489</v>
      </c>
      <c r="I31" s="354"/>
      <c r="J31" s="354"/>
      <c r="K31" s="354"/>
      <c r="L31" s="354"/>
      <c r="M31" s="355"/>
      <c r="N31" s="355"/>
    </row>
    <row collapsed="false" customFormat="true" customHeight="false" hidden="false" ht="68.65" outlineLevel="0" r="32" s="132">
      <c r="B32" s="353"/>
      <c r="C32" s="356" t="s">
        <v>503</v>
      </c>
      <c r="D32" s="357" t="s">
        <v>504</v>
      </c>
      <c r="E32" s="357" t="s">
        <v>505</v>
      </c>
      <c r="F32" s="357" t="s">
        <v>506</v>
      </c>
      <c r="G32" s="358" t="s">
        <v>507</v>
      </c>
      <c r="H32" s="356" t="s">
        <v>503</v>
      </c>
      <c r="I32" s="357" t="s">
        <v>504</v>
      </c>
      <c r="J32" s="357" t="s">
        <v>505</v>
      </c>
      <c r="K32" s="357" t="s">
        <v>506</v>
      </c>
      <c r="L32" s="358" t="s">
        <v>507</v>
      </c>
      <c r="M32" s="355"/>
      <c r="N32" s="355"/>
    </row>
    <row collapsed="false" customFormat="true" customHeight="true" hidden="false" ht="22.5" outlineLevel="0" r="33" s="132">
      <c r="B33" s="359" t="s">
        <v>508</v>
      </c>
      <c r="C33" s="360" t="n">
        <v>6</v>
      </c>
      <c r="D33" s="361" t="n">
        <v>6</v>
      </c>
      <c r="E33" s="362" t="n">
        <f aca="false">IF(ISERROR(D33/C33),"",D33/C33)</f>
        <v>1</v>
      </c>
      <c r="F33" s="361" t="n">
        <v>10.5</v>
      </c>
      <c r="G33" s="363" t="s">
        <v>509</v>
      </c>
      <c r="H33" s="360" t="n">
        <v>6</v>
      </c>
      <c r="I33" s="361" t="n">
        <v>6</v>
      </c>
      <c r="J33" s="362" t="n">
        <f aca="false">IF(ISERROR(I33/H33),"",I33/H33)</f>
        <v>1</v>
      </c>
      <c r="K33" s="361" t="n">
        <v>13</v>
      </c>
      <c r="L33" s="363" t="s">
        <v>509</v>
      </c>
      <c r="M33" s="364"/>
      <c r="N33" s="332"/>
    </row>
    <row collapsed="false" customFormat="true" customHeight="true" hidden="false" ht="22.5" outlineLevel="0" r="34" s="132">
      <c r="B34" s="365" t="s">
        <v>510</v>
      </c>
      <c r="C34" s="366" t="n">
        <v>3</v>
      </c>
      <c r="D34" s="367" t="n">
        <v>2</v>
      </c>
      <c r="E34" s="368" t="n">
        <f aca="false">IF(ISERROR(D34/C34),"",D34/C34)</f>
        <v>0.666666666666667</v>
      </c>
      <c r="F34" s="367" t="s">
        <v>509</v>
      </c>
      <c r="G34" s="369" t="n">
        <v>24</v>
      </c>
      <c r="H34" s="366" t="n">
        <v>3</v>
      </c>
      <c r="I34" s="367" t="n">
        <v>3</v>
      </c>
      <c r="J34" s="368" t="n">
        <f aca="false">IF(ISERROR(I34/H34),"",I34/H34)</f>
        <v>1</v>
      </c>
      <c r="K34" s="367" t="s">
        <v>509</v>
      </c>
      <c r="L34" s="369" t="n">
        <v>24</v>
      </c>
      <c r="M34" s="332"/>
      <c r="N34" s="332"/>
    </row>
    <row collapsed="false" customFormat="true" customHeight="true" hidden="false" ht="22.5" outlineLevel="0" r="35" s="132">
      <c r="B35" s="370" t="s">
        <v>511</v>
      </c>
      <c r="C35" s="371" t="n">
        <f aca="false">SUM(C33:C34)</f>
        <v>9</v>
      </c>
      <c r="D35" s="372" t="n">
        <f aca="false">SUM(D33:D34)</f>
        <v>8</v>
      </c>
      <c r="E35" s="373" t="n">
        <f aca="false">IF(ISERROR(D35/C35),"",D35/C35)</f>
        <v>0.888888888888889</v>
      </c>
      <c r="F35" s="372" t="n">
        <f aca="false">SUM(F33:F34)</f>
        <v>10.5</v>
      </c>
      <c r="G35" s="374" t="n">
        <f aca="false">SUM(G33:G34)</f>
        <v>24</v>
      </c>
      <c r="H35" s="371" t="n">
        <f aca="false">SUM(H33:H34)</f>
        <v>9</v>
      </c>
      <c r="I35" s="372" t="n">
        <f aca="false">SUM(I33:I34)</f>
        <v>9</v>
      </c>
      <c r="J35" s="373" t="n">
        <f aca="false">IF(ISERROR(I35/H35),"",I35/H35)</f>
        <v>1</v>
      </c>
      <c r="K35" s="372" t="n">
        <f aca="false">SUM(K33:K34)</f>
        <v>13</v>
      </c>
      <c r="L35" s="374" t="n">
        <f aca="false">SUM(L33:L34)</f>
        <v>24</v>
      </c>
      <c r="M35" s="332"/>
      <c r="N35" s="332"/>
    </row>
    <row collapsed="false" customFormat="true" customHeight="false" hidden="false" ht="12.8" outlineLevel="0" r="36" s="132"/>
    <row collapsed="false" customFormat="true" customHeight="false" hidden="false" ht="12.8" outlineLevel="0" r="37" s="132">
      <c r="B37" s="319" t="s">
        <v>512</v>
      </c>
      <c r="C37" s="375"/>
      <c r="D37" s="375"/>
      <c r="E37" s="376"/>
      <c r="F37" s="332"/>
    </row>
    <row collapsed="false" customFormat="true" customHeight="true" hidden="false" ht="12.8" outlineLevel="0" r="38" s="132">
      <c r="B38" s="377" t="s">
        <v>502</v>
      </c>
      <c r="C38" s="378" t="s">
        <v>488</v>
      </c>
      <c r="D38" s="378"/>
      <c r="E38" s="378"/>
      <c r="F38" s="378"/>
      <c r="G38" s="379" t="s">
        <v>489</v>
      </c>
      <c r="H38" s="379"/>
      <c r="I38" s="379"/>
      <c r="J38" s="379"/>
      <c r="K38" s="380" t="s">
        <v>513</v>
      </c>
      <c r="L38" s="381" t="s">
        <v>514</v>
      </c>
    </row>
    <row collapsed="false" customFormat="true" customHeight="false" hidden="false" ht="53.7" outlineLevel="0" r="39" s="132">
      <c r="B39" s="377"/>
      <c r="C39" s="356" t="s">
        <v>503</v>
      </c>
      <c r="D39" s="357" t="s">
        <v>504</v>
      </c>
      <c r="E39" s="357" t="s">
        <v>505</v>
      </c>
      <c r="F39" s="382" t="s">
        <v>515</v>
      </c>
      <c r="G39" s="383" t="s">
        <v>503</v>
      </c>
      <c r="H39" s="357" t="s">
        <v>504</v>
      </c>
      <c r="I39" s="357" t="s">
        <v>505</v>
      </c>
      <c r="J39" s="384" t="s">
        <v>515</v>
      </c>
      <c r="K39" s="380"/>
      <c r="L39" s="381"/>
    </row>
    <row collapsed="false" customFormat="true" customHeight="true" hidden="false" ht="22.5" outlineLevel="0" r="40" s="132">
      <c r="B40" s="385" t="s">
        <v>516</v>
      </c>
      <c r="C40" s="386" t="n">
        <v>30</v>
      </c>
      <c r="D40" s="387" t="n">
        <v>30</v>
      </c>
      <c r="E40" s="388" t="n">
        <f aca="false">IF(ISERROR(D40/C40),"",D40/C40)</f>
        <v>1</v>
      </c>
      <c r="F40" s="389" t="n">
        <v>201</v>
      </c>
      <c r="G40" s="390" t="n">
        <v>30</v>
      </c>
      <c r="H40" s="387" t="n">
        <v>30</v>
      </c>
      <c r="I40" s="388" t="n">
        <f aca="false">IF(ISERROR(H40/G40),"",H40/G40)</f>
        <v>1</v>
      </c>
      <c r="J40" s="391" t="n">
        <v>272</v>
      </c>
      <c r="K40" s="392" t="n">
        <f aca="false">IF(ISERROR(F40/D40),"",F40/D40)</f>
        <v>6.7</v>
      </c>
      <c r="L40" s="393" t="n">
        <f aca="false">IF(ISERROR(J40/H40),"",J40/H40)</f>
        <v>9.06666666666667</v>
      </c>
    </row>
  </sheetData>
  <mergeCells count="17">
    <mergeCell ref="B4:B5"/>
    <mergeCell ref="C4:D4"/>
    <mergeCell ref="E4:F4"/>
    <mergeCell ref="G4:G5"/>
    <mergeCell ref="H4:H5"/>
    <mergeCell ref="I4:I5"/>
    <mergeCell ref="M30:N30"/>
    <mergeCell ref="B31:B32"/>
    <mergeCell ref="C31:G31"/>
    <mergeCell ref="H31:L31"/>
    <mergeCell ref="M31:M32"/>
    <mergeCell ref="N31:N32"/>
    <mergeCell ref="B38:B39"/>
    <mergeCell ref="C38:F38"/>
    <mergeCell ref="G38:J38"/>
    <mergeCell ref="K38:K39"/>
    <mergeCell ref="L38:L39"/>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sheetPr filterMode="false">
    <pageSetUpPr fitToPage="false"/>
  </sheetPr>
  <dimension ref="B1:R28"/>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Right" topLeftCell="C5" xSplit="2" ySplit="4"/>
      <selection activeCell="A1" activeCellId="0" pane="topLeft" sqref="A1"/>
      <selection activeCell="C1" activeCellId="0" pane="topRight" sqref="C1"/>
      <selection activeCell="A5" activeCellId="0" pane="bottomLeft" sqref="A5"/>
      <selection activeCell="C5" activeCellId="0" pane="bottomRight" sqref="C5"/>
    </sheetView>
  </sheetViews>
  <cols>
    <col collapsed="false" hidden="false" max="1" min="1" style="132" width="3.15686274509804"/>
    <col collapsed="false" hidden="false" max="2" min="2" style="132" width="48.9137254901961"/>
    <col collapsed="false" hidden="false" max="11" min="3" style="132" width="11.4745098039216"/>
    <col collapsed="false" hidden="false" max="12" min="12" style="132" width="2.58039215686275"/>
    <col collapsed="false" hidden="false" max="257" min="13" style="132" width="11.4745098039216"/>
  </cols>
  <sheetData>
    <row collapsed="false" customFormat="false" customHeight="false" hidden="false" ht="15.2" outlineLevel="0" r="1">
      <c r="B1" s="394" t="s">
        <v>517</v>
      </c>
      <c r="C1" s="394"/>
      <c r="D1" s="394"/>
      <c r="E1" s="394"/>
      <c r="F1" s="394"/>
      <c r="G1" s="394"/>
      <c r="H1" s="394"/>
      <c r="I1" s="394"/>
      <c r="J1" s="394"/>
      <c r="K1" s="394"/>
    </row>
    <row collapsed="false" customFormat="false" customHeight="true" hidden="false" ht="13.5" outlineLevel="0" r="3">
      <c r="B3" s="395" t="s">
        <v>518</v>
      </c>
      <c r="C3" s="396" t="s">
        <v>519</v>
      </c>
      <c r="D3" s="396"/>
      <c r="E3" s="396"/>
      <c r="F3" s="396"/>
      <c r="G3" s="396"/>
      <c r="H3" s="396"/>
      <c r="I3" s="396"/>
      <c r="J3" s="396"/>
      <c r="K3" s="396"/>
      <c r="L3" s="397"/>
      <c r="M3" s="398" t="s">
        <v>520</v>
      </c>
      <c r="N3" s="398"/>
      <c r="O3" s="398"/>
      <c r="P3" s="398"/>
      <c r="Q3" s="398"/>
      <c r="R3" s="398"/>
    </row>
    <row collapsed="false" customFormat="false" customHeight="false" hidden="false" ht="35.05" outlineLevel="0" r="4">
      <c r="B4" s="395"/>
      <c r="C4" s="399" t="s">
        <v>521</v>
      </c>
      <c r="D4" s="399" t="s">
        <v>522</v>
      </c>
      <c r="E4" s="399" t="s">
        <v>523</v>
      </c>
      <c r="F4" s="399" t="s">
        <v>524</v>
      </c>
      <c r="G4" s="399" t="s">
        <v>525</v>
      </c>
      <c r="H4" s="399" t="s">
        <v>526</v>
      </c>
      <c r="I4" s="399" t="s">
        <v>527</v>
      </c>
      <c r="J4" s="399" t="s">
        <v>528</v>
      </c>
      <c r="K4" s="400" t="s">
        <v>529</v>
      </c>
      <c r="L4" s="397"/>
      <c r="M4" s="401" t="s">
        <v>530</v>
      </c>
      <c r="N4" s="402" t="s">
        <v>531</v>
      </c>
      <c r="O4" s="403" t="s">
        <v>532</v>
      </c>
      <c r="P4" s="404" t="s">
        <v>533</v>
      </c>
      <c r="Q4" s="405" t="s">
        <v>534</v>
      </c>
      <c r="R4" s="406" t="s">
        <v>535</v>
      </c>
    </row>
    <row collapsed="false" customFormat="false" customHeight="false" hidden="false" ht="12.8" outlineLevel="0" r="5">
      <c r="B5" s="407" t="s">
        <v>536</v>
      </c>
      <c r="C5" s="408" t="n">
        <v>3</v>
      </c>
      <c r="D5" s="408" t="n">
        <v>14</v>
      </c>
      <c r="E5" s="215" t="n">
        <v>0</v>
      </c>
      <c r="F5" s="215" t="n">
        <v>0</v>
      </c>
      <c r="G5" s="215" t="n">
        <v>0</v>
      </c>
      <c r="H5" s="215" t="n">
        <v>0</v>
      </c>
      <c r="I5" s="409" t="n">
        <f aca="false">SUM(C5,E5,G5)</f>
        <v>3</v>
      </c>
      <c r="J5" s="409" t="n">
        <f aca="false">SUM(D5,F5,H5)</f>
        <v>14</v>
      </c>
      <c r="K5" s="410" t="n">
        <f aca="false">J5*13_Normas_Programacion!$C$11</f>
        <v>2755.2</v>
      </c>
      <c r="L5" s="411"/>
      <c r="M5" s="412" t="n">
        <f aca="false">IF(ISERROR(C5/$C$28),"",C5/$C$28)</f>
        <v>0.0022238695329874</v>
      </c>
      <c r="N5" s="413" t="n">
        <f aca="false">IF(ISERROR(D5/$D$28),"",D5/$D$28)</f>
        <v>0.00142305346615166</v>
      </c>
      <c r="O5" s="414" t="n">
        <f aca="false">IF(ISERROR(D5/C5),"",D5/C5)</f>
        <v>4.66666666666667</v>
      </c>
      <c r="P5" s="415" t="n">
        <f aca="false">IF(ISERROR(I5/$I$28),"",I5/$I$28)</f>
        <v>0.00218181818181818</v>
      </c>
      <c r="Q5" s="416" t="n">
        <f aca="false">IF(ISERROR(J5/$J$28),"",J5/$J$28)</f>
        <v>0.00139888089528377</v>
      </c>
      <c r="R5" s="417" t="n">
        <f aca="false">IF(ISERROR(J5/I5),"",J5/I5)</f>
        <v>4.66666666666667</v>
      </c>
    </row>
    <row collapsed="false" customFormat="false" customHeight="false" hidden="false" ht="12.8" outlineLevel="0" r="6">
      <c r="B6" s="407" t="s">
        <v>537</v>
      </c>
      <c r="C6" s="408"/>
      <c r="D6" s="408"/>
      <c r="E6" s="215"/>
      <c r="F6" s="215"/>
      <c r="G6" s="215"/>
      <c r="H6" s="215"/>
      <c r="I6" s="409" t="n">
        <f aca="false">SUM(C6,E6,G6)</f>
        <v>0</v>
      </c>
      <c r="J6" s="409" t="n">
        <f aca="false">SUM(D6,F6,H6)</f>
        <v>0</v>
      </c>
      <c r="K6" s="410" t="n">
        <f aca="false">J6*13_Normas_Programacion!$C$11</f>
        <v>0</v>
      </c>
      <c r="L6" s="411"/>
      <c r="M6" s="412" t="n">
        <f aca="false">IF(ISERROR(C6/$C$28),"",C6/$C$28)</f>
        <v>0</v>
      </c>
      <c r="N6" s="413" t="n">
        <f aca="false">IF(ISERROR(D6/$D$28),"",D6/$D$28)</f>
        <v>0</v>
      </c>
      <c r="O6" s="414" t="str">
        <f aca="false">IF(ISERROR(D6/C6),"",D6/C6)</f>
        <v/>
      </c>
      <c r="P6" s="415" t="n">
        <f aca="false">IF(ISERROR(I6/$I$28),"",I6/$I$28)</f>
        <v>0</v>
      </c>
      <c r="Q6" s="416" t="n">
        <f aca="false">IF(ISERROR(J6/$J$28),"",J6/$J$28)</f>
        <v>0</v>
      </c>
      <c r="R6" s="417" t="str">
        <f aca="false">IF(ISERROR(J6/I6),"",J6/I6)</f>
        <v/>
      </c>
    </row>
    <row collapsed="false" customFormat="false" customHeight="false" hidden="false" ht="12.8" outlineLevel="0" r="7">
      <c r="B7" s="407" t="s">
        <v>538</v>
      </c>
      <c r="C7" s="408" t="n">
        <v>16</v>
      </c>
      <c r="D7" s="408" t="n">
        <v>66</v>
      </c>
      <c r="E7" s="215" t="n">
        <v>3</v>
      </c>
      <c r="F7" s="215" t="n">
        <v>16</v>
      </c>
      <c r="G7" s="215"/>
      <c r="H7" s="215"/>
      <c r="I7" s="409" t="n">
        <f aca="false">SUM(C7,E7,G7)</f>
        <v>19</v>
      </c>
      <c r="J7" s="409" t="n">
        <f aca="false">SUM(D7,F7,H7)</f>
        <v>82</v>
      </c>
      <c r="K7" s="410" t="n">
        <f aca="false">J7*13_Normas_Programacion!$C$11</f>
        <v>16137.6</v>
      </c>
      <c r="L7" s="411"/>
      <c r="M7" s="412" t="n">
        <f aca="false">IF(ISERROR(C7/$C$28),"",C7/$C$28)</f>
        <v>0.0118606375092661</v>
      </c>
      <c r="N7" s="413" t="n">
        <f aca="false">IF(ISERROR(D7/$D$28),"",D7/$D$28)</f>
        <v>0.00670868062614353</v>
      </c>
      <c r="O7" s="414" t="n">
        <f aca="false">IF(ISERROR(D7/C7),"",D7/C7)</f>
        <v>4.125</v>
      </c>
      <c r="P7" s="415" t="n">
        <f aca="false">IF(ISERROR(I7/$I$28),"",I7/$I$28)</f>
        <v>0.0138181818181818</v>
      </c>
      <c r="Q7" s="416" t="n">
        <f aca="false">IF(ISERROR(J7/$J$28),"",J7/$J$28)</f>
        <v>0.00819344524380496</v>
      </c>
      <c r="R7" s="417" t="n">
        <f aca="false">IF(ISERROR(J7/I7),"",J7/I7)</f>
        <v>4.31578947368421</v>
      </c>
    </row>
    <row collapsed="false" customFormat="false" customHeight="false" hidden="false" ht="14" outlineLevel="0" r="8">
      <c r="B8" s="407" t="s">
        <v>539</v>
      </c>
      <c r="C8" s="418" t="n">
        <f aca="false">119-10-3</f>
        <v>106</v>
      </c>
      <c r="D8" s="418" t="n">
        <f aca="false">404-68-14</f>
        <v>322</v>
      </c>
      <c r="E8" s="419" t="n">
        <v>3</v>
      </c>
      <c r="F8" s="419" t="n">
        <v>24</v>
      </c>
      <c r="G8" s="419" t="n">
        <v>0</v>
      </c>
      <c r="H8" s="419" t="n">
        <v>0</v>
      </c>
      <c r="I8" s="409" t="n">
        <f aca="false">SUM(C8,E8,G8)</f>
        <v>109</v>
      </c>
      <c r="J8" s="409" t="n">
        <f aca="false">SUM(D8,F8,H8)</f>
        <v>346</v>
      </c>
      <c r="K8" s="410" t="n">
        <f aca="false">J8*13_Normas_Programacion!$C$11</f>
        <v>68092.8</v>
      </c>
      <c r="L8" s="411"/>
      <c r="M8" s="420" t="n">
        <f aca="false">IF(ISERROR(C8/$C$28),"",C8/$C$28)</f>
        <v>0.0785767234988881</v>
      </c>
      <c r="N8" s="421" t="n">
        <f aca="false">IF(ISERROR(D8/$D$28),"",D8/$D$28)</f>
        <v>0.0327302297214881</v>
      </c>
      <c r="O8" s="422" t="n">
        <f aca="false">IF(ISERROR(D8/C8),"",D8/C8)</f>
        <v>3.0377358490566</v>
      </c>
      <c r="P8" s="423" t="n">
        <f aca="false">IF(ISERROR(I8/$I$28),"",I8/$I$28)</f>
        <v>0.0792727272727273</v>
      </c>
      <c r="Q8" s="424" t="n">
        <f aca="false">IF(ISERROR(J8/$J$28),"",J8/$J$28)</f>
        <v>0.034572342126299</v>
      </c>
      <c r="R8" s="425" t="n">
        <f aca="false">IF(ISERROR(J8/I8),"",J8/I8)</f>
        <v>3.1743119266055</v>
      </c>
    </row>
    <row collapsed="false" customFormat="false" customHeight="false" hidden="false" ht="14" outlineLevel="0" r="9">
      <c r="B9" s="407" t="s">
        <v>540</v>
      </c>
      <c r="C9" s="408" t="n">
        <f aca="false">87-16</f>
        <v>71</v>
      </c>
      <c r="D9" s="408" t="n">
        <f aca="false">360-66</f>
        <v>294</v>
      </c>
      <c r="E9" s="419" t="n">
        <v>0</v>
      </c>
      <c r="F9" s="162" t="n">
        <v>0</v>
      </c>
      <c r="G9" s="162" t="n">
        <v>6</v>
      </c>
      <c r="H9" s="162" t="n">
        <v>18</v>
      </c>
      <c r="I9" s="409" t="n">
        <f aca="false">SUM(C9,E9,G9)</f>
        <v>77</v>
      </c>
      <c r="J9" s="409" t="n">
        <f aca="false">SUM(D9,F9,H9)</f>
        <v>312</v>
      </c>
      <c r="K9" s="410" t="n">
        <f aca="false">J9*13_Normas_Programacion!$C$11</f>
        <v>61401.6</v>
      </c>
      <c r="L9" s="411"/>
      <c r="M9" s="412" t="n">
        <f aca="false">IF(ISERROR(C9/$C$28),"",C9/$C$28)</f>
        <v>0.0526315789473684</v>
      </c>
      <c r="N9" s="413" t="n">
        <f aca="false">IF(ISERROR(D9/$D$28),"",D9/$D$28)</f>
        <v>0.0298841227891848</v>
      </c>
      <c r="O9" s="414" t="n">
        <f aca="false">IF(ISERROR(D9/C9),"",D9/C9)</f>
        <v>4.14084507042254</v>
      </c>
      <c r="P9" s="415" t="n">
        <f aca="false">IF(ISERROR(I9/$I$28),"",I9/$I$28)</f>
        <v>0.056</v>
      </c>
      <c r="Q9" s="416" t="n">
        <f aca="false">IF(ISERROR(J9/$J$28),"",J9/$J$28)</f>
        <v>0.0311750599520384</v>
      </c>
      <c r="R9" s="417" t="n">
        <f aca="false">IF(ISERROR(J9/I9),"",J9/I9)</f>
        <v>4.05194805194805</v>
      </c>
    </row>
    <row collapsed="false" customFormat="false" customHeight="false" hidden="false" ht="12.8" outlineLevel="0" r="10">
      <c r="B10" s="407" t="s">
        <v>541</v>
      </c>
      <c r="C10" s="408" t="n">
        <v>10</v>
      </c>
      <c r="D10" s="408" t="n">
        <v>68</v>
      </c>
      <c r="E10" s="215" t="n">
        <v>0</v>
      </c>
      <c r="F10" s="215" t="n">
        <v>0</v>
      </c>
      <c r="G10" s="215" t="n">
        <v>0</v>
      </c>
      <c r="H10" s="215" t="n">
        <v>0</v>
      </c>
      <c r="I10" s="409" t="n">
        <f aca="false">SUM(C10,E10,G10)</f>
        <v>10</v>
      </c>
      <c r="J10" s="409" t="n">
        <f aca="false">SUM(D10,F10,H10)</f>
        <v>68</v>
      </c>
      <c r="K10" s="410" t="n">
        <f aca="false">J10*13_Normas_Programacion!$C$11</f>
        <v>13382.4</v>
      </c>
      <c r="L10" s="411"/>
      <c r="M10" s="420" t="n">
        <f aca="false">IF(ISERROR(C10/$C$28),"",C10/$C$28)</f>
        <v>0.00741289844329133</v>
      </c>
      <c r="N10" s="421" t="n">
        <f aca="false">IF(ISERROR(D10/$D$28),"",D10/$D$28)</f>
        <v>0.0069119739784509</v>
      </c>
      <c r="O10" s="422" t="n">
        <f aca="false">IF(ISERROR(D10/C10),"",D10/C10)</f>
        <v>6.8</v>
      </c>
      <c r="P10" s="423" t="n">
        <f aca="false">IF(ISERROR(I10/$I$28),"",I10/$I$28)</f>
        <v>0.00727272727272727</v>
      </c>
      <c r="Q10" s="424" t="n">
        <f aca="false">IF(ISERROR(J10/$J$28),"",J10/$J$28)</f>
        <v>0.00679456434852118</v>
      </c>
      <c r="R10" s="425" t="n">
        <f aca="false">IF(ISERROR(J10/I10),"",J10/I10)</f>
        <v>6.8</v>
      </c>
    </row>
    <row collapsed="false" customFormat="false" customHeight="false" hidden="false" ht="14" outlineLevel="0" r="11">
      <c r="B11" s="407" t="s">
        <v>542</v>
      </c>
      <c r="C11" s="408" t="n">
        <v>61</v>
      </c>
      <c r="D11" s="408" t="n">
        <f aca="false">8*C11</f>
        <v>488</v>
      </c>
      <c r="E11" s="419" t="n">
        <v>0</v>
      </c>
      <c r="F11" s="419" t="n">
        <v>0</v>
      </c>
      <c r="G11" s="162" t="n">
        <v>14</v>
      </c>
      <c r="H11" s="162" t="n">
        <f aca="false">+G11*8</f>
        <v>112</v>
      </c>
      <c r="I11" s="409" t="n">
        <f aca="false">SUM(C11,E11,G11)</f>
        <v>75</v>
      </c>
      <c r="J11" s="409" t="n">
        <f aca="false">SUM(D11,F11,H11)</f>
        <v>600</v>
      </c>
      <c r="K11" s="410" t="n">
        <f aca="false">J11*13_Normas_Programacion!$C$11</f>
        <v>118080</v>
      </c>
      <c r="L11" s="411"/>
      <c r="M11" s="420" t="n">
        <f aca="false">IF(ISERROR(C11/$C$28),"",C11/$C$28)</f>
        <v>0.0452186805040771</v>
      </c>
      <c r="N11" s="421" t="n">
        <f aca="false">IF(ISERROR(D11/$D$28),"",D11/$D$28)</f>
        <v>0.0496035779630006</v>
      </c>
      <c r="O11" s="422" t="n">
        <f aca="false">IF(ISERROR(D11/C11),"",D11/C11)</f>
        <v>8</v>
      </c>
      <c r="P11" s="423" t="n">
        <f aca="false">IF(ISERROR(I11/$I$28),"",I11/$I$28)</f>
        <v>0.0545454545454545</v>
      </c>
      <c r="Q11" s="424" t="n">
        <f aca="false">IF(ISERROR(J11/$J$28),"",J11/$J$28)</f>
        <v>0.0599520383693046</v>
      </c>
      <c r="R11" s="425" t="n">
        <f aca="false">IF(ISERROR(J11/I11),"",J11/I11)</f>
        <v>8</v>
      </c>
    </row>
    <row collapsed="false" customFormat="false" customHeight="false" hidden="false" ht="14" outlineLevel="0" r="12">
      <c r="B12" s="407" t="s">
        <v>543</v>
      </c>
      <c r="C12" s="408" t="n">
        <v>9</v>
      </c>
      <c r="D12" s="408" t="n">
        <f aca="false">16+6</f>
        <v>22</v>
      </c>
      <c r="E12" s="419" t="n">
        <v>0</v>
      </c>
      <c r="F12" s="419" t="n">
        <v>0</v>
      </c>
      <c r="G12" s="162" t="n">
        <v>0</v>
      </c>
      <c r="H12" s="162" t="n">
        <v>0</v>
      </c>
      <c r="I12" s="409" t="n">
        <f aca="false">SUM(C12,E12,G12)</f>
        <v>9</v>
      </c>
      <c r="J12" s="409" t="n">
        <f aca="false">SUM(D12,F12,H12)</f>
        <v>22</v>
      </c>
      <c r="K12" s="410" t="n">
        <f aca="false">J12*13_Normas_Programacion!$C$11</f>
        <v>4329.6</v>
      </c>
      <c r="L12" s="411"/>
      <c r="M12" s="420" t="n">
        <f aca="false">IF(ISERROR(C12/$C$28),"",C12/$C$28)</f>
        <v>0.00667160859896219</v>
      </c>
      <c r="N12" s="421" t="n">
        <f aca="false">IF(ISERROR(D12/$D$28),"",D12/$D$28)</f>
        <v>0.00223622687538117</v>
      </c>
      <c r="O12" s="422" t="n">
        <f aca="false">IF(ISERROR(D12/C12),"",D12/C12)</f>
        <v>2.44444444444444</v>
      </c>
      <c r="P12" s="423" t="n">
        <f aca="false">IF(ISERROR(I12/$I$28),"",I12/$I$28)</f>
        <v>0.00654545454545455</v>
      </c>
      <c r="Q12" s="424" t="n">
        <f aca="false">IF(ISERROR(J12/$J$28),"",J12/$J$28)</f>
        <v>0.0021982414068745</v>
      </c>
      <c r="R12" s="425" t="n">
        <f aca="false">IF(ISERROR(J12/I12),"",J12/I12)</f>
        <v>2.44444444444444</v>
      </c>
    </row>
    <row collapsed="false" customFormat="false" customHeight="false" hidden="false" ht="14" outlineLevel="0" r="13">
      <c r="B13" s="407" t="s">
        <v>544</v>
      </c>
      <c r="C13" s="408" t="n">
        <v>0</v>
      </c>
      <c r="D13" s="408" t="n">
        <v>0</v>
      </c>
      <c r="E13" s="419" t="n">
        <v>0</v>
      </c>
      <c r="F13" s="162" t="n">
        <v>0</v>
      </c>
      <c r="G13" s="162" t="n">
        <v>0</v>
      </c>
      <c r="H13" s="162" t="n">
        <v>0</v>
      </c>
      <c r="I13" s="409" t="n">
        <f aca="false">SUM(C13,E13,G13)</f>
        <v>0</v>
      </c>
      <c r="J13" s="409" t="n">
        <f aca="false">SUM(D13,F13,H13)</f>
        <v>0</v>
      </c>
      <c r="K13" s="410" t="n">
        <f aca="false">J13*13_Normas_Programacion!$C$11</f>
        <v>0</v>
      </c>
      <c r="L13" s="411"/>
      <c r="M13" s="420" t="n">
        <f aca="false">IF(ISERROR(C13/$C$28),"",C13/$C$28)</f>
        <v>0</v>
      </c>
      <c r="N13" s="421" t="n">
        <f aca="false">IF(ISERROR(D13/$D$28),"",D13/$D$28)</f>
        <v>0</v>
      </c>
      <c r="O13" s="422" t="str">
        <f aca="false">IF(ISERROR(D13/C13),"",D13/C13)</f>
        <v/>
      </c>
      <c r="P13" s="423" t="n">
        <f aca="false">IF(ISERROR(I13/$I$28),"",I13/$I$28)</f>
        <v>0</v>
      </c>
      <c r="Q13" s="424" t="n">
        <f aca="false">IF(ISERROR(J13/$J$28),"",J13/$J$28)</f>
        <v>0</v>
      </c>
      <c r="R13" s="425" t="str">
        <f aca="false">IF(ISERROR(J13/I13),"",J13/I13)</f>
        <v/>
      </c>
    </row>
    <row collapsed="false" customFormat="false" customHeight="false" hidden="false" ht="14" outlineLevel="0" r="14">
      <c r="B14" s="407" t="s">
        <v>545</v>
      </c>
      <c r="C14" s="408" t="n">
        <v>40</v>
      </c>
      <c r="D14" s="408" t="n">
        <f aca="false">8*C14</f>
        <v>320</v>
      </c>
      <c r="E14" s="419" t="n">
        <v>0</v>
      </c>
      <c r="F14" s="162" t="n">
        <v>0</v>
      </c>
      <c r="G14" s="162" t="n">
        <v>0</v>
      </c>
      <c r="H14" s="162" t="n">
        <v>0</v>
      </c>
      <c r="I14" s="409" t="n">
        <f aca="false">SUM(C14,E14,G14)</f>
        <v>40</v>
      </c>
      <c r="J14" s="409" t="n">
        <f aca="false">SUM(D14,F14,H14)</f>
        <v>320</v>
      </c>
      <c r="K14" s="410" t="n">
        <f aca="false">J14*13_Normas_Programacion!$C$11</f>
        <v>62976</v>
      </c>
      <c r="L14" s="411"/>
      <c r="M14" s="420" t="n">
        <f aca="false">IF(ISERROR(C14/$C$28),"",C14/$C$28)</f>
        <v>0.0296515937731653</v>
      </c>
      <c r="N14" s="421" t="n">
        <f aca="false">IF(ISERROR(D14/$D$28),"",D14/$D$28)</f>
        <v>0.0325269363691807</v>
      </c>
      <c r="O14" s="422" t="n">
        <f aca="false">IF(ISERROR(D14/C14),"",D14/C14)</f>
        <v>8</v>
      </c>
      <c r="P14" s="423" t="n">
        <f aca="false">IF(ISERROR(I14/$I$28),"",I14/$I$28)</f>
        <v>0.0290909090909091</v>
      </c>
      <c r="Q14" s="424" t="n">
        <f aca="false">IF(ISERROR(J14/$J$28),"",J14/$J$28)</f>
        <v>0.0319744204636291</v>
      </c>
      <c r="R14" s="425" t="n">
        <f aca="false">IF(ISERROR(J14/I14),"",J14/I14)</f>
        <v>8</v>
      </c>
    </row>
    <row collapsed="false" customFormat="false" customHeight="false" hidden="false" ht="14" outlineLevel="0" r="15">
      <c r="B15" s="407" t="s">
        <v>546</v>
      </c>
      <c r="C15" s="408" t="n">
        <v>225</v>
      </c>
      <c r="D15" s="408" t="n">
        <f aca="false">225*8</f>
        <v>1800</v>
      </c>
      <c r="E15" s="419" t="n">
        <v>0</v>
      </c>
      <c r="F15" s="419" t="n">
        <v>0</v>
      </c>
      <c r="G15" s="162" t="n">
        <v>0</v>
      </c>
      <c r="H15" s="162" t="n">
        <v>0</v>
      </c>
      <c r="I15" s="409" t="n">
        <f aca="false">SUM(C15,E15,G15)</f>
        <v>225</v>
      </c>
      <c r="J15" s="409" t="n">
        <f aca="false">SUM(D15,F15,H15)</f>
        <v>1800</v>
      </c>
      <c r="K15" s="410" t="n">
        <f aca="false">J15*13_Normas_Programacion!$C$11</f>
        <v>354240</v>
      </c>
      <c r="L15" s="411"/>
      <c r="M15" s="420" t="n">
        <f aca="false">IF(ISERROR(C15/$C$28),"",C15/$C$28)</f>
        <v>0.166790214974055</v>
      </c>
      <c r="N15" s="421" t="n">
        <f aca="false">IF(ISERROR(D15/$D$28),"",D15/$D$28)</f>
        <v>0.182964017076642</v>
      </c>
      <c r="O15" s="422" t="n">
        <f aca="false">IF(ISERROR(D15/C15),"",D15/C15)</f>
        <v>8</v>
      </c>
      <c r="P15" s="423" t="n">
        <f aca="false">IF(ISERROR(I15/$I$28),"",I15/$I$28)</f>
        <v>0.163636363636364</v>
      </c>
      <c r="Q15" s="424" t="n">
        <f aca="false">IF(ISERROR(J15/$J$28),"",J15/$J$28)</f>
        <v>0.179856115107914</v>
      </c>
      <c r="R15" s="425" t="n">
        <f aca="false">IF(ISERROR(J15/I15),"",J15/I15)</f>
        <v>8</v>
      </c>
    </row>
    <row collapsed="false" customFormat="false" customHeight="false" hidden="false" ht="14" outlineLevel="0" r="16">
      <c r="B16" s="407" t="s">
        <v>547</v>
      </c>
      <c r="C16" s="408" t="n">
        <v>157</v>
      </c>
      <c r="D16" s="408" t="n">
        <f aca="false">157*8</f>
        <v>1256</v>
      </c>
      <c r="E16" s="419" t="n">
        <v>0</v>
      </c>
      <c r="F16" s="162" t="n">
        <v>0</v>
      </c>
      <c r="G16" s="162" t="n">
        <v>0</v>
      </c>
      <c r="H16" s="162" t="n">
        <v>0</v>
      </c>
      <c r="I16" s="409" t="n">
        <f aca="false">SUM(C16,E16,G16)</f>
        <v>157</v>
      </c>
      <c r="J16" s="409" t="n">
        <f aca="false">SUM(D16,F16,H16)</f>
        <v>1256</v>
      </c>
      <c r="K16" s="410" t="n">
        <f aca="false">J16*13_Normas_Programacion!$C$11</f>
        <v>247180.8</v>
      </c>
      <c r="L16" s="411"/>
      <c r="M16" s="420" t="n">
        <f aca="false">IF(ISERROR(C16/$C$28),"",C16/$C$28)</f>
        <v>0.116382505559674</v>
      </c>
      <c r="N16" s="421" t="n">
        <f aca="false">IF(ISERROR(D16/$D$28),"",D16/$D$28)</f>
        <v>0.127668225249034</v>
      </c>
      <c r="O16" s="422" t="n">
        <f aca="false">IF(ISERROR(D16/C16),"",D16/C16)</f>
        <v>8</v>
      </c>
      <c r="P16" s="423" t="n">
        <f aca="false">IF(ISERROR(I16/$I$28),"",I16/$I$28)</f>
        <v>0.114181818181818</v>
      </c>
      <c r="Q16" s="424" t="n">
        <f aca="false">IF(ISERROR(J16/$J$28),"",J16/$J$28)</f>
        <v>0.125499600319744</v>
      </c>
      <c r="R16" s="425" t="n">
        <f aca="false">IF(ISERROR(J16/I16),"",J16/I16)</f>
        <v>8</v>
      </c>
    </row>
    <row collapsed="false" customFormat="false" customHeight="false" hidden="false" ht="14" outlineLevel="0" r="17">
      <c r="B17" s="407" t="s">
        <v>548</v>
      </c>
      <c r="C17" s="408" t="n">
        <v>25</v>
      </c>
      <c r="D17" s="408" t="n">
        <v>196</v>
      </c>
      <c r="E17" s="419" t="n">
        <v>0</v>
      </c>
      <c r="F17" s="419" t="n">
        <v>0</v>
      </c>
      <c r="G17" s="162" t="n">
        <v>0</v>
      </c>
      <c r="H17" s="162" t="n">
        <v>0</v>
      </c>
      <c r="I17" s="409" t="n">
        <f aca="false">SUM(C17,E17,G17)</f>
        <v>25</v>
      </c>
      <c r="J17" s="409" t="n">
        <f aca="false">SUM(D17,F17,H17)</f>
        <v>196</v>
      </c>
      <c r="K17" s="410" t="n">
        <f aca="false">J17*13_Normas_Programacion!$C$11</f>
        <v>38572.8</v>
      </c>
      <c r="L17" s="411"/>
      <c r="M17" s="420" t="n">
        <f aca="false">IF(ISERROR(C17/$C$28),"",C17/$C$28)</f>
        <v>0.0185322461082283</v>
      </c>
      <c r="N17" s="421" t="n">
        <f aca="false">IF(ISERROR(D17/$D$28),"",D17/$D$28)</f>
        <v>0.0199227485261232</v>
      </c>
      <c r="O17" s="422" t="n">
        <f aca="false">IF(ISERROR(D17/C17),"",D17/C17)</f>
        <v>7.84</v>
      </c>
      <c r="P17" s="423" t="n">
        <f aca="false">IF(ISERROR(I17/$I$28),"",I17/$I$28)</f>
        <v>0.0181818181818182</v>
      </c>
      <c r="Q17" s="424" t="n">
        <f aca="false">IF(ISERROR(J17/$J$28),"",J17/$J$28)</f>
        <v>0.0195843325339728</v>
      </c>
      <c r="R17" s="425" t="n">
        <f aca="false">IF(ISERROR(J17/I17),"",J17/I17)</f>
        <v>7.84</v>
      </c>
    </row>
    <row collapsed="false" customFormat="false" customHeight="false" hidden="false" ht="14" outlineLevel="0" r="18">
      <c r="B18" s="407" t="s">
        <v>549</v>
      </c>
      <c r="C18" s="408" t="n">
        <v>46</v>
      </c>
      <c r="D18" s="408" t="n">
        <f aca="false">46*8</f>
        <v>368</v>
      </c>
      <c r="E18" s="419" t="n">
        <v>0</v>
      </c>
      <c r="F18" s="162" t="n">
        <v>0</v>
      </c>
      <c r="G18" s="162" t="n">
        <v>0</v>
      </c>
      <c r="H18" s="162" t="n">
        <v>0</v>
      </c>
      <c r="I18" s="409" t="n">
        <f aca="false">SUM(C18,E18,G18)</f>
        <v>46</v>
      </c>
      <c r="J18" s="409" t="n">
        <f aca="false">SUM(D18,F18,H18)</f>
        <v>368</v>
      </c>
      <c r="K18" s="410" t="n">
        <f aca="false">J18*13_Normas_Programacion!$C$11</f>
        <v>72422.4</v>
      </c>
      <c r="L18" s="411"/>
      <c r="M18" s="420" t="n">
        <f aca="false">IF(ISERROR(C18/$C$28),"",C18/$C$28)</f>
        <v>0.0340993328391401</v>
      </c>
      <c r="N18" s="421" t="n">
        <f aca="false">IF(ISERROR(D18/$D$28),"",D18/$D$28)</f>
        <v>0.0374059768245578</v>
      </c>
      <c r="O18" s="422" t="n">
        <f aca="false">IF(ISERROR(D18/C18),"",D18/C18)</f>
        <v>8</v>
      </c>
      <c r="P18" s="423" t="n">
        <f aca="false">IF(ISERROR(I18/$I$28),"",I18/$I$28)</f>
        <v>0.0334545454545455</v>
      </c>
      <c r="Q18" s="424" t="n">
        <f aca="false">IF(ISERROR(J18/$J$28),"",J18/$J$28)</f>
        <v>0.0367705835331735</v>
      </c>
      <c r="R18" s="425" t="n">
        <f aca="false">IF(ISERROR(J18/I18),"",J18/I18)</f>
        <v>8</v>
      </c>
    </row>
    <row collapsed="false" customFormat="false" customHeight="false" hidden="false" ht="14" outlineLevel="0" r="19">
      <c r="B19" s="407" t="s">
        <v>550</v>
      </c>
      <c r="C19" s="408" t="n">
        <v>33</v>
      </c>
      <c r="D19" s="408" t="n">
        <f aca="false">33*8</f>
        <v>264</v>
      </c>
      <c r="E19" s="419" t="n">
        <v>0</v>
      </c>
      <c r="F19" s="419" t="n">
        <v>0</v>
      </c>
      <c r="G19" s="162" t="n">
        <v>0</v>
      </c>
      <c r="H19" s="162" t="n">
        <v>0</v>
      </c>
      <c r="I19" s="409" t="n">
        <f aca="false">SUM(C19,E19,G19)</f>
        <v>33</v>
      </c>
      <c r="J19" s="409" t="n">
        <f aca="false">SUM(D19,F19,H19)</f>
        <v>264</v>
      </c>
      <c r="K19" s="410" t="n">
        <f aca="false">J19*13_Normas_Programacion!$C$11</f>
        <v>51955.2</v>
      </c>
      <c r="L19" s="411"/>
      <c r="M19" s="420" t="n">
        <f aca="false">IF(ISERROR(C19/$C$28),"",C19/$C$28)</f>
        <v>0.0244625648628614</v>
      </c>
      <c r="N19" s="421" t="n">
        <f aca="false">IF(ISERROR(D19/$D$28),"",D19/$D$28)</f>
        <v>0.0268347225045741</v>
      </c>
      <c r="O19" s="422" t="n">
        <f aca="false">IF(ISERROR(D19/C19),"",D19/C19)</f>
        <v>8</v>
      </c>
      <c r="P19" s="423" t="n">
        <f aca="false">IF(ISERROR(I19/$I$28),"",I19/$I$28)</f>
        <v>0.024</v>
      </c>
      <c r="Q19" s="424" t="n">
        <f aca="false">IF(ISERROR(J19/$J$28),"",J19/$J$28)</f>
        <v>0.026378896882494</v>
      </c>
      <c r="R19" s="425" t="n">
        <f aca="false">IF(ISERROR(J19/I19),"",J19/I19)</f>
        <v>8</v>
      </c>
    </row>
    <row collapsed="false" customFormat="false" customHeight="false" hidden="false" ht="14" outlineLevel="0" r="20">
      <c r="B20" s="407" t="s">
        <v>551</v>
      </c>
      <c r="C20" s="408" t="n">
        <v>41</v>
      </c>
      <c r="D20" s="408" t="n">
        <f aca="false">41*8</f>
        <v>328</v>
      </c>
      <c r="E20" s="419" t="n">
        <v>0</v>
      </c>
      <c r="F20" s="162" t="n">
        <v>0</v>
      </c>
      <c r="G20" s="162" t="n">
        <v>0</v>
      </c>
      <c r="H20" s="162" t="n">
        <v>0</v>
      </c>
      <c r="I20" s="409" t="n">
        <f aca="false">SUM(C20,E20,G20)</f>
        <v>41</v>
      </c>
      <c r="J20" s="409" t="n">
        <f aca="false">SUM(D20,F20,H20)</f>
        <v>328</v>
      </c>
      <c r="K20" s="410" t="n">
        <f aca="false">J20*13_Normas_Programacion!$C$11</f>
        <v>64550.4</v>
      </c>
      <c r="L20" s="411"/>
      <c r="M20" s="420" t="n">
        <f aca="false">IF(ISERROR(C20/$C$28),"",C20/$C$28)</f>
        <v>0.0303928836174944</v>
      </c>
      <c r="N20" s="421" t="n">
        <f aca="false">IF(ISERROR(D20/$D$28),"",D20/$D$28)</f>
        <v>0.0333401097784102</v>
      </c>
      <c r="O20" s="422" t="n">
        <f aca="false">IF(ISERROR(D20/C20),"",D20/C20)</f>
        <v>8</v>
      </c>
      <c r="P20" s="423" t="n">
        <f aca="false">IF(ISERROR(I20/$I$28),"",I20/$I$28)</f>
        <v>0.0298181818181818</v>
      </c>
      <c r="Q20" s="424" t="n">
        <f aca="false">IF(ISERROR(J20/$J$28),"",J20/$J$28)</f>
        <v>0.0327737809752198</v>
      </c>
      <c r="R20" s="425" t="n">
        <f aca="false">IF(ISERROR(J20/I20),"",J20/I20)</f>
        <v>8</v>
      </c>
    </row>
    <row collapsed="false" customFormat="false" customHeight="false" hidden="false" ht="14" outlineLevel="0" r="21">
      <c r="B21" s="407" t="s">
        <v>552</v>
      </c>
      <c r="C21" s="408" t="n">
        <v>8</v>
      </c>
      <c r="D21" s="408" t="n">
        <v>60</v>
      </c>
      <c r="E21" s="419" t="n">
        <v>0</v>
      </c>
      <c r="F21" s="419" t="n">
        <v>0</v>
      </c>
      <c r="G21" s="162" t="n">
        <v>0</v>
      </c>
      <c r="H21" s="162" t="n">
        <v>0</v>
      </c>
      <c r="I21" s="409" t="n">
        <f aca="false">SUM(C21,E21,G21)</f>
        <v>8</v>
      </c>
      <c r="J21" s="409" t="n">
        <f aca="false">SUM(D21,F21,H21)</f>
        <v>60</v>
      </c>
      <c r="K21" s="410" t="n">
        <f aca="false">J21*13_Normas_Programacion!$C$11</f>
        <v>11808</v>
      </c>
      <c r="L21" s="411"/>
      <c r="M21" s="420" t="n">
        <f aca="false">IF(ISERROR(C21/$C$28),"",C21/$C$28)</f>
        <v>0.00593031875463306</v>
      </c>
      <c r="N21" s="421" t="n">
        <f aca="false">IF(ISERROR(D21/$D$28),"",D21/$D$28)</f>
        <v>0.00609880056922139</v>
      </c>
      <c r="O21" s="422" t="n">
        <f aca="false">IF(ISERROR(D21/C21),"",D21/C21)</f>
        <v>7.5</v>
      </c>
      <c r="P21" s="423" t="n">
        <f aca="false">IF(ISERROR(I21/$I$28),"",I21/$I$28)</f>
        <v>0.00581818181818182</v>
      </c>
      <c r="Q21" s="424" t="n">
        <f aca="false">IF(ISERROR(J21/$J$28),"",J21/$J$28)</f>
        <v>0.00599520383693046</v>
      </c>
      <c r="R21" s="425" t="n">
        <f aca="false">IF(ISERROR(J21/I21),"",J21/I21)</f>
        <v>7.5</v>
      </c>
    </row>
    <row collapsed="false" customFormat="false" customHeight="false" hidden="false" ht="14" outlineLevel="0" r="22">
      <c r="B22" s="407" t="s">
        <v>553</v>
      </c>
      <c r="C22" s="408" t="n">
        <v>20</v>
      </c>
      <c r="D22" s="408" t="n">
        <f aca="false">20*8</f>
        <v>160</v>
      </c>
      <c r="E22" s="419" t="n">
        <v>0</v>
      </c>
      <c r="F22" s="162" t="n">
        <v>0</v>
      </c>
      <c r="G22" s="162" t="n">
        <v>0</v>
      </c>
      <c r="H22" s="162" t="n">
        <v>0</v>
      </c>
      <c r="I22" s="409" t="n">
        <f aca="false">SUM(C22,E22,G22)</f>
        <v>20</v>
      </c>
      <c r="J22" s="409" t="n">
        <f aca="false">SUM(D22,F22,H22)</f>
        <v>160</v>
      </c>
      <c r="K22" s="410" t="n">
        <f aca="false">J22*13_Normas_Programacion!$C$11</f>
        <v>31488</v>
      </c>
      <c r="L22" s="411"/>
      <c r="M22" s="420" t="n">
        <f aca="false">IF(ISERROR(C22/$C$28),"",C22/$C$28)</f>
        <v>0.0148257968865827</v>
      </c>
      <c r="N22" s="421" t="n">
        <f aca="false">IF(ISERROR(D22/$D$28),"",D22/$D$28)</f>
        <v>0.0162634681845904</v>
      </c>
      <c r="O22" s="422" t="n">
        <f aca="false">IF(ISERROR(D22/C22),"",D22/C22)</f>
        <v>8</v>
      </c>
      <c r="P22" s="423" t="n">
        <f aca="false">IF(ISERROR(I22/$I$28),"",I22/$I$28)</f>
        <v>0.0145454545454545</v>
      </c>
      <c r="Q22" s="424" t="n">
        <f aca="false">IF(ISERROR(J22/$J$28),"",J22/$J$28)</f>
        <v>0.0159872102318145</v>
      </c>
      <c r="R22" s="425" t="n">
        <f aca="false">IF(ISERROR(J22/I22),"",J22/I22)</f>
        <v>8</v>
      </c>
    </row>
    <row collapsed="false" customFormat="false" customHeight="false" hidden="false" ht="14" outlineLevel="0" r="23">
      <c r="B23" s="407" t="s">
        <v>554</v>
      </c>
      <c r="C23" s="408" t="n">
        <v>10</v>
      </c>
      <c r="D23" s="408" t="n">
        <v>80</v>
      </c>
      <c r="E23" s="419" t="n">
        <v>0</v>
      </c>
      <c r="F23" s="419" t="n">
        <v>0</v>
      </c>
      <c r="G23" s="162" t="n">
        <v>0</v>
      </c>
      <c r="H23" s="162" t="n">
        <v>0</v>
      </c>
      <c r="I23" s="409" t="n">
        <f aca="false">SUM(C23,E23,G23)</f>
        <v>10</v>
      </c>
      <c r="J23" s="409" t="n">
        <f aca="false">SUM(D23,F23,H23)</f>
        <v>80</v>
      </c>
      <c r="K23" s="410" t="n">
        <f aca="false">J23*13_Normas_Programacion!$C$11</f>
        <v>15744</v>
      </c>
      <c r="L23" s="411"/>
      <c r="M23" s="420" t="n">
        <f aca="false">IF(ISERROR(C23/$C$28),"",C23/$C$28)</f>
        <v>0.00741289844329133</v>
      </c>
      <c r="N23" s="421" t="n">
        <f aca="false">IF(ISERROR(D23/$D$28),"",D23/$D$28)</f>
        <v>0.00813173409229518</v>
      </c>
      <c r="O23" s="422" t="n">
        <f aca="false">IF(ISERROR(D23/C23),"",D23/C23)</f>
        <v>8</v>
      </c>
      <c r="P23" s="423" t="n">
        <f aca="false">IF(ISERROR(I23/$I$28),"",I23/$I$28)</f>
        <v>0.00727272727272727</v>
      </c>
      <c r="Q23" s="424" t="n">
        <f aca="false">IF(ISERROR(J23/$J$28),"",J23/$J$28)</f>
        <v>0.00799360511590727</v>
      </c>
      <c r="R23" s="425" t="n">
        <f aca="false">IF(ISERROR(J23/I23),"",J23/I23)</f>
        <v>8</v>
      </c>
    </row>
    <row collapsed="false" customFormat="false" customHeight="false" hidden="false" ht="14" outlineLevel="0" r="24">
      <c r="B24" s="407" t="s">
        <v>555</v>
      </c>
      <c r="C24" s="408" t="n">
        <v>3</v>
      </c>
      <c r="D24" s="408" t="n">
        <v>24</v>
      </c>
      <c r="E24" s="419" t="n">
        <v>0</v>
      </c>
      <c r="F24" s="162" t="n">
        <v>0</v>
      </c>
      <c r="G24" s="162" t="n">
        <v>0</v>
      </c>
      <c r="H24" s="162" t="n">
        <v>0</v>
      </c>
      <c r="I24" s="409" t="n">
        <f aca="false">SUM(C24,E24,G24)</f>
        <v>3</v>
      </c>
      <c r="J24" s="409" t="n">
        <f aca="false">SUM(D24,F24,H24)</f>
        <v>24</v>
      </c>
      <c r="K24" s="410" t="n">
        <f aca="false">J24*13_Normas_Programacion!$C$11</f>
        <v>4723.2</v>
      </c>
      <c r="L24" s="411"/>
      <c r="M24" s="420" t="n">
        <f aca="false">IF(ISERROR(C24/$C$28),"",C24/$C$28)</f>
        <v>0.0022238695329874</v>
      </c>
      <c r="N24" s="421" t="n">
        <f aca="false">IF(ISERROR(D24/$D$28),"",D24/$D$28)</f>
        <v>0.00243952022768855</v>
      </c>
      <c r="O24" s="422" t="n">
        <f aca="false">IF(ISERROR(D24/C24),"",D24/C24)</f>
        <v>8</v>
      </c>
      <c r="P24" s="423" t="n">
        <f aca="false">IF(ISERROR(I24/$I$28),"",I24/$I$28)</f>
        <v>0.00218181818181818</v>
      </c>
      <c r="Q24" s="424" t="n">
        <f aca="false">IF(ISERROR(J24/$J$28),"",J24/$J$28)</f>
        <v>0.00239808153477218</v>
      </c>
      <c r="R24" s="425" t="n">
        <f aca="false">IF(ISERROR(J24/I24),"",J24/I24)</f>
        <v>8</v>
      </c>
    </row>
    <row collapsed="false" customFormat="false" customHeight="false" hidden="false" ht="14" outlineLevel="0" r="25">
      <c r="B25" s="407" t="s">
        <v>556</v>
      </c>
      <c r="C25" s="408" t="n">
        <v>6</v>
      </c>
      <c r="D25" s="408" t="n">
        <v>36</v>
      </c>
      <c r="E25" s="419" t="n">
        <v>0</v>
      </c>
      <c r="F25" s="419" t="n">
        <v>0</v>
      </c>
      <c r="G25" s="162" t="n">
        <v>0</v>
      </c>
      <c r="H25" s="162" t="n">
        <v>0</v>
      </c>
      <c r="I25" s="409" t="n">
        <f aca="false">SUM(C25,E25,G25)</f>
        <v>6</v>
      </c>
      <c r="J25" s="409" t="n">
        <f aca="false">SUM(D25,F25,H25)</f>
        <v>36</v>
      </c>
      <c r="K25" s="410" t="n">
        <f aca="false">J25*13_Normas_Programacion!$C$11</f>
        <v>7084.8</v>
      </c>
      <c r="L25" s="411"/>
      <c r="M25" s="420" t="n">
        <f aca="false">IF(ISERROR(C25/$C$28),"",C25/$C$28)</f>
        <v>0.0044477390659748</v>
      </c>
      <c r="N25" s="421" t="n">
        <f aca="false">IF(ISERROR(D25/$D$28),"",D25/$D$28)</f>
        <v>0.00365928034153283</v>
      </c>
      <c r="O25" s="422" t="n">
        <f aca="false">IF(ISERROR(D25/C25),"",D25/C25)</f>
        <v>6</v>
      </c>
      <c r="P25" s="423" t="n">
        <f aca="false">IF(ISERROR(I25/$I$28),"",I25/$I$28)</f>
        <v>0.00436363636363636</v>
      </c>
      <c r="Q25" s="424" t="n">
        <f aca="false">IF(ISERROR(J25/$J$28),"",J25/$J$28)</f>
        <v>0.00359712230215827</v>
      </c>
      <c r="R25" s="425" t="n">
        <f aca="false">IF(ISERROR(J25/I25),"",J25/I25)</f>
        <v>6</v>
      </c>
    </row>
    <row collapsed="false" customFormat="false" customHeight="false" hidden="false" ht="14" outlineLevel="0" r="26">
      <c r="B26" s="407" t="s">
        <v>557</v>
      </c>
      <c r="C26" s="408" t="n">
        <v>349</v>
      </c>
      <c r="D26" s="408" t="n">
        <v>2792</v>
      </c>
      <c r="E26" s="419" t="n">
        <v>0</v>
      </c>
      <c r="F26" s="162" t="n">
        <v>0</v>
      </c>
      <c r="G26" s="162" t="n">
        <v>0</v>
      </c>
      <c r="H26" s="162" t="n">
        <v>0</v>
      </c>
      <c r="I26" s="409" t="n">
        <f aca="false">SUM(C26,E26,G26)</f>
        <v>349</v>
      </c>
      <c r="J26" s="409" t="n">
        <f aca="false">SUM(D26,F26,H26)</f>
        <v>2792</v>
      </c>
      <c r="K26" s="410" t="n">
        <f aca="false">J26*13_Normas_Programacion!$C$11</f>
        <v>549465.6</v>
      </c>
      <c r="L26" s="411"/>
      <c r="M26" s="420" t="n">
        <f aca="false">IF(ISERROR(C26/$C$28),"",C26/$C$28)</f>
        <v>0.258710155670867</v>
      </c>
      <c r="N26" s="421" t="n">
        <f aca="false">IF(ISERROR(D26/$D$28),"",D26/$D$28)</f>
        <v>0.283797519821102</v>
      </c>
      <c r="O26" s="422" t="n">
        <f aca="false">IF(ISERROR(D26/C26),"",D26/C26)</f>
        <v>8</v>
      </c>
      <c r="P26" s="423" t="n">
        <f aca="false">IF(ISERROR(I26/$I$28),"",I26/$I$28)</f>
        <v>0.253818181818182</v>
      </c>
      <c r="Q26" s="424" t="n">
        <f aca="false">IF(ISERROR(J26/$J$28),"",J26/$J$28)</f>
        <v>0.278976818545164</v>
      </c>
      <c r="R26" s="425" t="n">
        <f aca="false">IF(ISERROR(J26/I26),"",J26/I26)</f>
        <v>8</v>
      </c>
    </row>
    <row collapsed="false" customFormat="false" customHeight="false" hidden="false" ht="14" outlineLevel="0" r="27">
      <c r="B27" s="426" t="s">
        <v>558</v>
      </c>
      <c r="C27" s="427" t="n">
        <v>110</v>
      </c>
      <c r="D27" s="427" t="n">
        <v>880</v>
      </c>
      <c r="E27" s="419" t="n">
        <v>0</v>
      </c>
      <c r="F27" s="419" t="n">
        <v>0</v>
      </c>
      <c r="G27" s="162" t="n">
        <v>0</v>
      </c>
      <c r="H27" s="162" t="n">
        <v>0</v>
      </c>
      <c r="I27" s="409" t="n">
        <f aca="false">SUM(C27,E27,G27)</f>
        <v>110</v>
      </c>
      <c r="J27" s="409" t="n">
        <f aca="false">SUM(D27,F27,H27)</f>
        <v>880</v>
      </c>
      <c r="K27" s="410" t="n">
        <f aca="false">J27*13_Normas_Programacion!$C$11</f>
        <v>173184</v>
      </c>
      <c r="L27" s="411"/>
      <c r="M27" s="428" t="n">
        <f aca="false">IF(ISERROR(C27/$C$28),"",C27/$C$28)</f>
        <v>0.0815418828762046</v>
      </c>
      <c r="N27" s="429" t="n">
        <f aca="false">IF(ISERROR(D27/$D$28),"",D27/$D$28)</f>
        <v>0.089449075015247</v>
      </c>
      <c r="O27" s="430" t="n">
        <f aca="false">IF(ISERROR(D27/C27),"",D27/C27)</f>
        <v>8</v>
      </c>
      <c r="P27" s="431" t="n">
        <f aca="false">IF(ISERROR(I27/$I$28),"",I27/$I$28)</f>
        <v>0.08</v>
      </c>
      <c r="Q27" s="432" t="n">
        <f aca="false">IF(ISERROR(J27/$J$28),"",J27/$J$28)</f>
        <v>0.08792965627498</v>
      </c>
      <c r="R27" s="433" t="n">
        <f aca="false">IF(ISERROR(J27/I27),"",J27/I27)</f>
        <v>8</v>
      </c>
    </row>
    <row collapsed="false" customFormat="false" customHeight="false" hidden="false" ht="12.8" outlineLevel="0" r="28">
      <c r="B28" s="434" t="s">
        <v>226</v>
      </c>
      <c r="C28" s="435" t="n">
        <f aca="false">SUM(C5:C27)</f>
        <v>1349</v>
      </c>
      <c r="D28" s="435" t="n">
        <f aca="false">SUM(D5:D27)</f>
        <v>9838</v>
      </c>
      <c r="E28" s="435" t="n">
        <f aca="false">SUM(E5:E27)</f>
        <v>6</v>
      </c>
      <c r="F28" s="435" t="n">
        <f aca="false">SUM(F5:F27)</f>
        <v>40</v>
      </c>
      <c r="G28" s="435" t="n">
        <f aca="false">SUM(G5:G27)</f>
        <v>20</v>
      </c>
      <c r="H28" s="435" t="n">
        <f aca="false">SUM(H5:H27)</f>
        <v>130</v>
      </c>
      <c r="I28" s="435" t="n">
        <f aca="false">SUM(I5:I27)</f>
        <v>1375</v>
      </c>
      <c r="J28" s="435" t="n">
        <f aca="false">SUM(J5:J27)</f>
        <v>10008</v>
      </c>
      <c r="K28" s="436" t="n">
        <f aca="false">SUM(K5:K27)</f>
        <v>1969574.4</v>
      </c>
      <c r="L28" s="411"/>
      <c r="M28" s="437" t="inlineStr">
        <f aca="false">SUM(M5:M27)</f>
        <is>
          <t/>
        </is>
      </c>
      <c r="N28" s="438" t="inlineStr">
        <f aca="false">SUM(N5:N27)</f>
        <is>
          <t/>
        </is>
      </c>
      <c r="O28" s="439"/>
      <c r="P28" s="437" t="inlineStr">
        <f aca="false">SUM(P5:P27)</f>
        <is>
          <t/>
        </is>
      </c>
      <c r="Q28" s="438" t="inlineStr">
        <f aca="false">SUM(Q5:Q27)</f>
        <is>
          <t/>
        </is>
      </c>
      <c r="R28" s="439"/>
    </row>
  </sheetData>
  <mergeCells count="4">
    <mergeCell ref="B1:K1"/>
    <mergeCell ref="B3:B4"/>
    <mergeCell ref="C3:K3"/>
    <mergeCell ref="M3:R3"/>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sheetPr filterMode="false">
    <pageSetUpPr fitToPage="false"/>
  </sheetPr>
  <dimension ref="A1:N60"/>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Right" topLeftCell="C49" xSplit="2" ySplit="4"/>
      <selection activeCell="A1" activeCellId="0" pane="topLeft" sqref="A1"/>
      <selection activeCell="C1" activeCellId="0" pane="topRight" sqref="C1"/>
      <selection activeCell="A49" activeCellId="0" pane="bottomLeft" sqref="A49"/>
      <selection activeCell="A65" activeCellId="0" pane="bottomRight" sqref="A65"/>
    </sheetView>
  </sheetViews>
  <cols>
    <col collapsed="false" hidden="false" max="1" min="1" style="440" width="6.02352941176471"/>
    <col collapsed="false" hidden="false" max="2" min="2" style="441" width="45.4705882352941"/>
    <col collapsed="false" hidden="false" max="3" min="3" style="442" width="8.03137254901961"/>
    <col collapsed="false" hidden="false" max="4" min="4" style="442" width="8.46274509803922"/>
    <col collapsed="false" hidden="false" max="5" min="5" style="442" width="9.89411764705882"/>
    <col collapsed="false" hidden="false" max="6" min="6" style="442" width="9.18039215686274"/>
    <col collapsed="false" hidden="false" max="7" min="7" style="442" width="9.89411764705882"/>
    <col collapsed="false" hidden="false" max="8" min="8" style="442" width="10.4705882352941"/>
    <col collapsed="false" hidden="false" max="9" min="9" style="442" width="8.74901960784314"/>
    <col collapsed="false" hidden="false" max="10" min="10" style="442" width="9.89411764705882"/>
    <col collapsed="false" hidden="false" max="11" min="11" style="442" width="10.8980392156863"/>
    <col collapsed="false" hidden="false" max="12" min="12" style="442" width="8.74901960784314"/>
    <col collapsed="false" hidden="false" max="13" min="13" style="442" width="8.60392156862745"/>
    <col collapsed="false" hidden="false" max="14" min="14" style="443" width="11.4745098039216"/>
    <col collapsed="false" hidden="false" max="257" min="15" style="444" width="11.4745098039216"/>
  </cols>
  <sheetData>
    <row collapsed="false" customFormat="false" customHeight="false" hidden="false" ht="14" outlineLevel="0" r="1">
      <c r="B1" s="445" t="s">
        <v>559</v>
      </c>
    </row>
    <row collapsed="false" customFormat="false" customHeight="false" hidden="false" ht="14" outlineLevel="0" r="3">
      <c r="B3" s="446" t="s">
        <v>560</v>
      </c>
      <c r="C3" s="447" t="n">
        <v>22</v>
      </c>
    </row>
    <row collapsed="false" customFormat="false" customHeight="false" hidden="false" ht="40.25" outlineLevel="0" r="4">
      <c r="B4" s="448" t="s">
        <v>561</v>
      </c>
      <c r="C4" s="449" t="str">
        <f aca="false">9_Inform_Gral_RRHH!B5</f>
        <v>Médicos Generales</v>
      </c>
      <c r="D4" s="449" t="str">
        <f aca="false">9_Inform_Gral_RRHH!B6</f>
        <v>Pediatra</v>
      </c>
      <c r="E4" s="449" t="str">
        <f aca="false">9_Inform_Gral_RRHH!B7</f>
        <v>Cirujano Pediatra General</v>
      </c>
      <c r="F4" s="449" t="str">
        <f aca="false">9_Inform_Gral_RRHH!B8</f>
        <v>Sub Especialista en Medicina Pediátrica</v>
      </c>
      <c r="G4" s="449" t="str">
        <f aca="false">9_Inform_Gral_RRHH!B9</f>
        <v>Sub Especialista en Cirugía Pediátrica</v>
      </c>
      <c r="H4" s="449" t="str">
        <f aca="false">9_Inform_Gral_RRHH!B10</f>
        <v>Neonatologos</v>
      </c>
      <c r="I4" s="449" t="str">
        <f aca="false">9_Inform_Gral_RRHH!B11</f>
        <v>Médicos Residentes</v>
      </c>
      <c r="J4" s="449" t="str">
        <f aca="false">9_Inform_Gral_RRHH!B12</f>
        <v>Odontólogos</v>
      </c>
      <c r="K4" s="449" t="str">
        <f aca="false">9_Inform_Gral_RRHH!B13</f>
        <v>Ortodoncistas</v>
      </c>
      <c r="L4" s="449" t="str">
        <f aca="false">9_Inform_Gral_RRHH!B15</f>
        <v>Enfermeras</v>
      </c>
      <c r="M4" s="449" t="str">
        <f aca="false">9_Inform_Gral_RRHH!B16</f>
        <v>Auxiliares de Enfermería</v>
      </c>
      <c r="N4" s="450" t="s">
        <v>562</v>
      </c>
    </row>
    <row collapsed="false" customFormat="false" customHeight="true" hidden="false" ht="24" outlineLevel="0" r="5">
      <c r="A5" s="451" t="s">
        <v>563</v>
      </c>
      <c r="B5" s="452" t="s">
        <v>564</v>
      </c>
      <c r="C5" s="453" t="n">
        <f aca="false">9_Inform_Gral_RRHH!J5</f>
        <v>14</v>
      </c>
      <c r="D5" s="453" t="n">
        <v>128</v>
      </c>
      <c r="E5" s="453" t="n">
        <f aca="false">9_Inform_Gral_RRHH!J7</f>
        <v>82</v>
      </c>
      <c r="F5" s="453" t="n">
        <v>230</v>
      </c>
      <c r="G5" s="453" t="n">
        <f aca="false">9_Inform_Gral_RRHH!J9</f>
        <v>312</v>
      </c>
      <c r="H5" s="453" t="n">
        <v>68</v>
      </c>
      <c r="I5" s="453" t="n">
        <f aca="false">9_Inform_Gral_RRHH!J11</f>
        <v>600</v>
      </c>
      <c r="J5" s="453" t="n">
        <v>22</v>
      </c>
      <c r="K5" s="453" t="n">
        <v>4</v>
      </c>
      <c r="L5" s="453" t="n">
        <v>1800</v>
      </c>
      <c r="M5" s="453" t="n">
        <v>1384</v>
      </c>
      <c r="N5" s="454"/>
    </row>
    <row collapsed="false" customFormat="false" customHeight="false" hidden="false" ht="14" outlineLevel="0" r="6">
      <c r="A6" s="455" t="s">
        <v>565</v>
      </c>
      <c r="B6" s="456" t="s">
        <v>566</v>
      </c>
      <c r="C6" s="457" t="n">
        <f aca="false">C5*$C$3</f>
        <v>308</v>
      </c>
      <c r="D6" s="457" t="n">
        <f aca="false">D5*$C$3</f>
        <v>2816</v>
      </c>
      <c r="E6" s="457" t="n">
        <f aca="false">E5*$C$3</f>
        <v>1804</v>
      </c>
      <c r="F6" s="457" t="n">
        <f aca="false">F5*$C$3</f>
        <v>5060</v>
      </c>
      <c r="G6" s="457" t="n">
        <f aca="false">G5*$C$3</f>
        <v>6864</v>
      </c>
      <c r="H6" s="457" t="n">
        <f aca="false">H5*$C$3</f>
        <v>1496</v>
      </c>
      <c r="I6" s="457" t="n">
        <f aca="false">I5*$C$3</f>
        <v>13200</v>
      </c>
      <c r="J6" s="457" t="n">
        <f aca="false">J5*$C$3</f>
        <v>484</v>
      </c>
      <c r="K6" s="457" t="n">
        <f aca="false">K5*$C$3</f>
        <v>88</v>
      </c>
      <c r="L6" s="457" t="n">
        <f aca="false">L5*$C$3</f>
        <v>39600</v>
      </c>
      <c r="M6" s="457" t="n">
        <f aca="false">M5*$C$3</f>
        <v>30448</v>
      </c>
      <c r="N6" s="458"/>
    </row>
    <row collapsed="false" customFormat="false" customHeight="false" hidden="false" ht="15.2" outlineLevel="0" r="7">
      <c r="A7" s="455" t="s">
        <v>567</v>
      </c>
      <c r="B7" s="459" t="s">
        <v>568</v>
      </c>
      <c r="C7" s="460"/>
      <c r="D7" s="460"/>
      <c r="E7" s="460"/>
      <c r="F7" s="460"/>
      <c r="G7" s="460"/>
      <c r="H7" s="460"/>
      <c r="I7" s="460"/>
      <c r="J7" s="460"/>
      <c r="K7" s="460"/>
      <c r="L7" s="460"/>
      <c r="M7" s="460"/>
      <c r="N7" s="461"/>
    </row>
    <row collapsed="false" customFormat="false" customHeight="false" hidden="false" ht="15.2" outlineLevel="0" r="8">
      <c r="A8" s="455" t="s">
        <v>569</v>
      </c>
      <c r="B8" s="462" t="s">
        <v>570</v>
      </c>
      <c r="C8" s="463" t="n">
        <f aca="false">8*22</f>
        <v>176</v>
      </c>
      <c r="D8" s="463" t="n">
        <f aca="false">+(33.8+11.2)*22</f>
        <v>990</v>
      </c>
      <c r="E8" s="463" t="n">
        <v>516.34</v>
      </c>
      <c r="F8" s="463" t="n">
        <v>1007.6</v>
      </c>
      <c r="G8" s="463" t="n">
        <v>1234.56</v>
      </c>
      <c r="H8" s="463" t="n">
        <f aca="false">27*22</f>
        <v>594</v>
      </c>
      <c r="I8" s="463" t="n">
        <f aca="false">88*22</f>
        <v>1936</v>
      </c>
      <c r="J8" s="463"/>
      <c r="K8" s="463"/>
      <c r="L8" s="463" t="n">
        <v>6912</v>
      </c>
      <c r="M8" s="463" t="n">
        <v>2464</v>
      </c>
      <c r="N8" s="464" t="n">
        <f aca="false">SUM(C8:I8)</f>
        <v>6454.5</v>
      </c>
    </row>
    <row collapsed="false" customFormat="false" customHeight="false" hidden="false" ht="15.2" outlineLevel="0" r="9">
      <c r="A9" s="455" t="s">
        <v>571</v>
      </c>
      <c r="B9" s="459" t="str">
        <f aca="false">5_Produccion_Desagregada_09_10!C5</f>
        <v>Servicios Ambulatorios</v>
      </c>
      <c r="C9" s="460"/>
      <c r="D9" s="460"/>
      <c r="E9" s="460"/>
      <c r="F9" s="460"/>
      <c r="G9" s="460"/>
      <c r="H9" s="460"/>
      <c r="I9" s="460"/>
      <c r="J9" s="460"/>
      <c r="K9" s="460"/>
      <c r="L9" s="460"/>
      <c r="M9" s="460"/>
      <c r="N9" s="461"/>
    </row>
    <row collapsed="false" customFormat="false" customHeight="false" hidden="false" ht="14.9" outlineLevel="0" r="10">
      <c r="A10" s="465" t="s">
        <v>572</v>
      </c>
      <c r="B10" s="466" t="str">
        <f aca="false">5_Produccion_Desagregada_09_10!C7</f>
        <v>Consulta General </v>
      </c>
      <c r="C10" s="467" t="n">
        <f aca="false">6*22</f>
        <v>132</v>
      </c>
      <c r="D10" s="467" t="n">
        <v>0</v>
      </c>
      <c r="E10" s="467" t="n">
        <v>0</v>
      </c>
      <c r="F10" s="467" t="n">
        <v>0</v>
      </c>
      <c r="G10" s="467" t="n">
        <v>0</v>
      </c>
      <c r="H10" s="467"/>
      <c r="I10" s="467"/>
      <c r="J10" s="468"/>
      <c r="K10" s="468"/>
      <c r="L10" s="467"/>
      <c r="M10" s="467"/>
      <c r="N10" s="464" t="n">
        <f aca="false">SUM(C10:I10)</f>
        <v>132</v>
      </c>
    </row>
    <row collapsed="false" customFormat="false" customHeight="false" hidden="false" ht="14.9" outlineLevel="0" r="11">
      <c r="A11" s="465" t="s">
        <v>573</v>
      </c>
      <c r="B11" s="466" t="str">
        <f aca="false">5_Produccion_Desagregada_09_10!C8</f>
        <v>Consulta Especializada</v>
      </c>
      <c r="C11" s="469"/>
      <c r="D11" s="469"/>
      <c r="E11" s="469"/>
      <c r="F11" s="469"/>
      <c r="G11" s="469"/>
      <c r="H11" s="469"/>
      <c r="I11" s="469"/>
      <c r="J11" s="469"/>
      <c r="K11" s="469"/>
      <c r="L11" s="469"/>
      <c r="M11" s="469"/>
      <c r="N11" s="470"/>
    </row>
    <row collapsed="false" customFormat="false" customHeight="false" hidden="false" ht="14" outlineLevel="0" r="12">
      <c r="A12" s="471" t="s">
        <v>574</v>
      </c>
      <c r="B12" s="472" t="str">
        <f aca="false">5_Produccion_Desagregada_09_10!C9</f>
        <v>Consultas de Especializadades Básicas</v>
      </c>
      <c r="C12" s="473"/>
      <c r="D12" s="473"/>
      <c r="E12" s="473"/>
      <c r="F12" s="473"/>
      <c r="G12" s="473"/>
      <c r="H12" s="473"/>
      <c r="I12" s="473"/>
      <c r="J12" s="473"/>
      <c r="K12" s="473"/>
      <c r="L12" s="473"/>
      <c r="M12" s="473"/>
      <c r="N12" s="474"/>
    </row>
    <row collapsed="false" customFormat="false" customHeight="false" hidden="false" ht="14" outlineLevel="0" r="13">
      <c r="A13" s="475" t="s">
        <v>575</v>
      </c>
      <c r="B13" s="476" t="str">
        <f aca="false">"Consulta "&amp;5_Produccion_Desagregada_09_10!C10&amp;""</f>
        <v>Consulta Pediatria General</v>
      </c>
      <c r="C13" s="467" t="n">
        <v>0</v>
      </c>
      <c r="D13" s="467" t="n">
        <f aca="false">8*22</f>
        <v>176</v>
      </c>
      <c r="E13" s="467" t="n">
        <v>0</v>
      </c>
      <c r="F13" s="467" t="n">
        <v>0</v>
      </c>
      <c r="G13" s="467" t="n">
        <v>0</v>
      </c>
      <c r="H13" s="467" t="n">
        <v>0</v>
      </c>
      <c r="I13" s="467" t="n">
        <f aca="false">32*22</f>
        <v>704</v>
      </c>
      <c r="J13" s="468"/>
      <c r="K13" s="468"/>
      <c r="L13" s="467"/>
      <c r="M13" s="467"/>
      <c r="N13" s="464" t="n">
        <f aca="false">SUM(C13:I13)</f>
        <v>880</v>
      </c>
    </row>
    <row collapsed="false" customFormat="false" customHeight="false" hidden="false" ht="14" outlineLevel="0" r="14">
      <c r="A14" s="475" t="s">
        <v>576</v>
      </c>
      <c r="B14" s="476" t="str">
        <f aca="false">"Consulta "&amp;5_Produccion_Desagregada_09_10!C11&amp;""</f>
        <v>Consulta Cirugia Pediátrica General</v>
      </c>
      <c r="C14" s="467" t="n">
        <v>0</v>
      </c>
      <c r="D14" s="467" t="n">
        <v>0</v>
      </c>
      <c r="E14" s="467" t="n">
        <v>0</v>
      </c>
      <c r="F14" s="467" t="n">
        <v>0</v>
      </c>
      <c r="G14" s="467" t="n">
        <v>0</v>
      </c>
      <c r="H14" s="467" t="n">
        <v>0</v>
      </c>
      <c r="I14" s="467" t="s">
        <v>350</v>
      </c>
      <c r="J14" s="468"/>
      <c r="K14" s="468"/>
      <c r="L14" s="467"/>
      <c r="M14" s="467"/>
      <c r="N14" s="464" t="n">
        <f aca="false">SUM(C14:I14)</f>
        <v>0</v>
      </c>
    </row>
    <row collapsed="false" customFormat="false" customHeight="false" hidden="false" ht="14" outlineLevel="0" r="15">
      <c r="A15" s="471" t="s">
        <v>577</v>
      </c>
      <c r="B15" s="472" t="str">
        <f aca="false">5_Produccion_Desagregada_09_10!C12</f>
        <v>Consultas de Sub Especializadades</v>
      </c>
      <c r="C15" s="473"/>
      <c r="D15" s="473"/>
      <c r="E15" s="473"/>
      <c r="F15" s="473"/>
      <c r="G15" s="473"/>
      <c r="H15" s="473"/>
      <c r="I15" s="473"/>
      <c r="J15" s="473"/>
      <c r="K15" s="473"/>
      <c r="L15" s="473"/>
      <c r="M15" s="473"/>
      <c r="N15" s="474"/>
    </row>
    <row collapsed="false" customFormat="false" customHeight="false" hidden="false" ht="14" outlineLevel="0" r="16">
      <c r="A16" s="475" t="s">
        <v>578</v>
      </c>
      <c r="B16" s="476" t="str">
        <f aca="false">"Consulta "&amp;5_Produccion_Desagregada_09_10!C13&amp;""</f>
        <v>Consulta Neonatología</v>
      </c>
      <c r="C16" s="467" t="n">
        <v>0</v>
      </c>
      <c r="D16" s="467" t="n">
        <v>0</v>
      </c>
      <c r="E16" s="467" t="n">
        <v>0</v>
      </c>
      <c r="F16" s="467" t="n">
        <v>0</v>
      </c>
      <c r="G16" s="467" t="n">
        <v>0</v>
      </c>
      <c r="H16" s="467"/>
      <c r="I16" s="467" t="s">
        <v>350</v>
      </c>
      <c r="J16" s="468"/>
      <c r="K16" s="468"/>
      <c r="L16" s="467" t="n">
        <v>0</v>
      </c>
      <c r="M16" s="467" t="n">
        <v>0</v>
      </c>
      <c r="N16" s="464" t="n">
        <f aca="false">SUM(C16:I16)</f>
        <v>0</v>
      </c>
    </row>
    <row collapsed="false" customFormat="false" customHeight="false" hidden="false" ht="14" outlineLevel="0" r="17">
      <c r="A17" s="475" t="s">
        <v>579</v>
      </c>
      <c r="B17" s="476" t="str">
        <f aca="false">"Consulta "&amp;5_Produccion_Desagregada_09_10!C14&amp;""</f>
        <v>Consulta Pediatria especializada</v>
      </c>
      <c r="C17" s="467" t="n">
        <v>0</v>
      </c>
      <c r="D17" s="467" t="n">
        <f aca="false">32*22</f>
        <v>704</v>
      </c>
      <c r="E17" s="467" t="n">
        <v>0</v>
      </c>
      <c r="F17" s="467" t="n">
        <f aca="false">91.73*22</f>
        <v>2018.06</v>
      </c>
      <c r="G17" s="467" t="n">
        <v>0</v>
      </c>
      <c r="H17" s="467"/>
      <c r="I17" s="467" t="n">
        <f aca="false">40*22</f>
        <v>880</v>
      </c>
      <c r="J17" s="468"/>
      <c r="K17" s="468"/>
      <c r="L17" s="467" t="n">
        <f aca="false">(8+24+24+8)*22</f>
        <v>1408</v>
      </c>
      <c r="M17" s="467" t="n">
        <f aca="false">48*22</f>
        <v>1056</v>
      </c>
      <c r="N17" s="464" t="n">
        <f aca="false">SUM(C17:I17)</f>
        <v>3602.06</v>
      </c>
    </row>
    <row collapsed="false" customFormat="false" customHeight="false" hidden="false" ht="14" outlineLevel="0" r="18">
      <c r="A18" s="475" t="s">
        <v>580</v>
      </c>
      <c r="B18" s="476" t="str">
        <f aca="false">"Consulta "&amp;5_Produccion_Desagregada_09_10!C15&amp;""</f>
        <v>Consulta Cirugia Pediátrica Especilaizada</v>
      </c>
      <c r="C18" s="467" t="n">
        <v>0</v>
      </c>
      <c r="D18" s="467" t="n">
        <v>0</v>
      </c>
      <c r="E18" s="467" t="n">
        <v>98.2</v>
      </c>
      <c r="F18" s="467" t="n">
        <v>0</v>
      </c>
      <c r="G18" s="467" t="n">
        <f aca="false">18.56*22</f>
        <v>408.32</v>
      </c>
      <c r="H18" s="467"/>
      <c r="I18" s="467" t="s">
        <v>350</v>
      </c>
      <c r="J18" s="468"/>
      <c r="K18" s="468"/>
      <c r="L18" s="467"/>
      <c r="M18" s="467" t="n">
        <f aca="false">8*22</f>
        <v>176</v>
      </c>
      <c r="N18" s="464" t="n">
        <f aca="false">SUM(C18:I18)</f>
        <v>506.52</v>
      </c>
    </row>
    <row collapsed="false" customFormat="false" customHeight="false" hidden="false" ht="14.9" outlineLevel="0" r="19">
      <c r="A19" s="465" t="s">
        <v>581</v>
      </c>
      <c r="B19" s="466" t="str">
        <f aca="false">5_Produccion_Desagregada_09_10!C16</f>
        <v>Consulta de Emergencia</v>
      </c>
      <c r="C19" s="477"/>
      <c r="D19" s="477"/>
      <c r="E19" s="477"/>
      <c r="F19" s="477"/>
      <c r="G19" s="477"/>
      <c r="H19" s="477"/>
      <c r="I19" s="477"/>
      <c r="J19" s="477"/>
      <c r="K19" s="477"/>
      <c r="L19" s="477"/>
      <c r="M19" s="477"/>
      <c r="N19" s="478"/>
    </row>
    <row collapsed="false" customFormat="false" customHeight="false" hidden="false" ht="14" outlineLevel="0" r="20">
      <c r="A20" s="479" t="s">
        <v>582</v>
      </c>
      <c r="B20" s="476" t="str">
        <f aca="false">5_Produccion_Desagregada_09_10!C17</f>
        <v>Consultas de Emergencia de Medicina Interna Pediatrica</v>
      </c>
      <c r="C20" s="467" t="n">
        <v>0</v>
      </c>
      <c r="D20" s="467" t="n">
        <f aca="false">25*22</f>
        <v>550</v>
      </c>
      <c r="E20" s="467" t="n">
        <v>0</v>
      </c>
      <c r="F20" s="467" t="n">
        <v>944.9</v>
      </c>
      <c r="G20" s="467" t="n">
        <f aca="false">10.2*22</f>
        <v>224.4</v>
      </c>
      <c r="H20" s="467" t="n">
        <f aca="false">16.5*22</f>
        <v>363</v>
      </c>
      <c r="I20" s="467" t="n">
        <f aca="false">64*22</f>
        <v>1408</v>
      </c>
      <c r="J20" s="468"/>
      <c r="K20" s="468"/>
      <c r="L20" s="467" t="n">
        <f aca="false">48*22</f>
        <v>1056</v>
      </c>
      <c r="M20" s="467"/>
      <c r="N20" s="464" t="n">
        <f aca="false">SUM(C20:I20)</f>
        <v>3490.3</v>
      </c>
    </row>
    <row collapsed="false" customFormat="false" customHeight="false" hidden="false" ht="14" outlineLevel="0" r="21">
      <c r="A21" s="479" t="s">
        <v>583</v>
      </c>
      <c r="B21" s="476" t="str">
        <f aca="false">5_Produccion_Desagregada_09_10!C18</f>
        <v>Consultas de Emergencia de Cirugia General Pediatrica</v>
      </c>
      <c r="C21" s="467" t="n">
        <v>0</v>
      </c>
      <c r="D21" s="467" t="n">
        <v>0</v>
      </c>
      <c r="E21" s="467" t="n">
        <v>195.72</v>
      </c>
      <c r="F21" s="467" t="n">
        <v>0</v>
      </c>
      <c r="G21" s="467" t="n">
        <v>1262</v>
      </c>
      <c r="H21" s="467"/>
      <c r="I21" s="467" t="n">
        <v>352</v>
      </c>
      <c r="J21" s="468"/>
      <c r="K21" s="468"/>
      <c r="L21" s="467"/>
      <c r="M21" s="467"/>
      <c r="N21" s="464" t="n">
        <f aca="false">SUM(C21:I21)</f>
        <v>1809.72</v>
      </c>
    </row>
    <row collapsed="false" customFormat="false" customHeight="false" hidden="false" ht="14.9" outlineLevel="0" r="22">
      <c r="A22" s="465" t="s">
        <v>584</v>
      </c>
      <c r="B22" s="466" t="str">
        <f aca="false">5_Produccion_Desagregada_09_10!C19</f>
        <v>Consulta Externa Odontologica</v>
      </c>
      <c r="C22" s="477"/>
      <c r="D22" s="477"/>
      <c r="E22" s="477"/>
      <c r="F22" s="477"/>
      <c r="G22" s="477"/>
      <c r="H22" s="477"/>
      <c r="I22" s="477"/>
      <c r="J22" s="477"/>
      <c r="K22" s="477"/>
      <c r="L22" s="477"/>
      <c r="M22" s="477"/>
      <c r="N22" s="478"/>
    </row>
    <row collapsed="false" customFormat="false" customHeight="false" hidden="false" ht="14" outlineLevel="0" r="23">
      <c r="A23" s="479" t="s">
        <v>585</v>
      </c>
      <c r="B23" s="476" t="str">
        <f aca="false">5_Produccion_Desagregada_09_10!C20</f>
        <v>Consulta de Odontologia General</v>
      </c>
      <c r="C23" s="467" t="n">
        <v>0</v>
      </c>
      <c r="D23" s="468"/>
      <c r="E23" s="468"/>
      <c r="F23" s="468"/>
      <c r="G23" s="468"/>
      <c r="H23" s="468"/>
      <c r="I23" s="468"/>
      <c r="J23" s="467" t="n">
        <f aca="false">22*22</f>
        <v>484</v>
      </c>
      <c r="K23" s="467"/>
      <c r="L23" s="467"/>
      <c r="M23" s="467"/>
      <c r="N23" s="464" t="n">
        <f aca="false">J23+K23</f>
        <v>484</v>
      </c>
    </row>
    <row collapsed="false" customFormat="false" customHeight="false" hidden="false" ht="14" outlineLevel="0" r="24">
      <c r="A24" s="479" t="s">
        <v>586</v>
      </c>
      <c r="B24" s="476" t="str">
        <f aca="false">5_Produccion_Desagregada_09_10!C21</f>
        <v>Consulta de Ortodoncia</v>
      </c>
      <c r="C24" s="467" t="n">
        <v>0</v>
      </c>
      <c r="D24" s="468"/>
      <c r="E24" s="468"/>
      <c r="F24" s="468"/>
      <c r="G24" s="468"/>
      <c r="H24" s="468"/>
      <c r="I24" s="468"/>
      <c r="J24" s="467"/>
      <c r="K24" s="467" t="n">
        <f aca="false">4*22</f>
        <v>88</v>
      </c>
      <c r="L24" s="467"/>
      <c r="M24" s="467"/>
      <c r="N24" s="464" t="n">
        <f aca="false">J24+K24</f>
        <v>88</v>
      </c>
    </row>
    <row collapsed="false" customFormat="false" customHeight="false" hidden="false" ht="14.9" outlineLevel="0" r="25">
      <c r="A25" s="465" t="s">
        <v>587</v>
      </c>
      <c r="B25" s="466" t="str">
        <f aca="false">5_Produccion_Desagregada_09_10!C22&amp;""</f>
        <v>Procedimientos de Cirugia Menor</v>
      </c>
      <c r="C25" s="467" t="n">
        <v>0</v>
      </c>
      <c r="D25" s="467" t="n">
        <v>0</v>
      </c>
      <c r="E25" s="467" t="n">
        <v>89.76</v>
      </c>
      <c r="F25" s="467" t="n">
        <v>0</v>
      </c>
      <c r="G25" s="467" t="n">
        <f aca="false">10.8*22</f>
        <v>237.6</v>
      </c>
      <c r="H25" s="467"/>
      <c r="I25" s="467" t="s">
        <v>350</v>
      </c>
      <c r="J25" s="468"/>
      <c r="K25" s="468"/>
      <c r="L25" s="467" t="n">
        <f aca="false">24*22</f>
        <v>528</v>
      </c>
      <c r="M25" s="467" t="n">
        <f aca="false">40*22</f>
        <v>880</v>
      </c>
      <c r="N25" s="464" t="n">
        <f aca="false">SUM(C25:I25)</f>
        <v>327.36</v>
      </c>
    </row>
    <row collapsed="false" customFormat="false" customHeight="false" hidden="false" ht="14.9" outlineLevel="0" r="26">
      <c r="A26" s="465" t="s">
        <v>588</v>
      </c>
      <c r="B26" s="466" t="str">
        <f aca="false">5_Produccion_Desagregada_09_10!C23&amp;""</f>
        <v>Otros Procedimientos Ambulatorios</v>
      </c>
      <c r="C26" s="477"/>
      <c r="D26" s="477"/>
      <c r="E26" s="477"/>
      <c r="F26" s="477"/>
      <c r="G26" s="477"/>
      <c r="H26" s="477"/>
      <c r="I26" s="477"/>
      <c r="J26" s="477"/>
      <c r="K26" s="477"/>
      <c r="L26" s="477"/>
      <c r="M26" s="477"/>
      <c r="N26" s="478"/>
    </row>
    <row collapsed="false" customFormat="false" customHeight="false" hidden="false" ht="14" outlineLevel="0" r="27">
      <c r="A27" s="479" t="s">
        <v>589</v>
      </c>
      <c r="B27" s="476" t="str">
        <f aca="false">5_Produccion_Desagregada_09_10!C24&amp;""</f>
        <v>Tratamientos de Nefrología (Diálisis peritoneal)</v>
      </c>
      <c r="C27" s="467" t="n">
        <v>0</v>
      </c>
      <c r="D27" s="480" t="n">
        <v>0</v>
      </c>
      <c r="E27" s="467" t="n">
        <v>0</v>
      </c>
      <c r="F27" s="481" t="n">
        <v>33</v>
      </c>
      <c r="G27" s="467" t="n">
        <v>0</v>
      </c>
      <c r="H27" s="467"/>
      <c r="I27" s="467" t="n">
        <f aca="false">4*22</f>
        <v>88</v>
      </c>
      <c r="J27" s="468"/>
      <c r="K27" s="468"/>
      <c r="L27" s="467" t="n">
        <f aca="false">(104-32)*22</f>
        <v>1584</v>
      </c>
      <c r="M27" s="467" t="n">
        <f aca="false">32*22</f>
        <v>704</v>
      </c>
      <c r="N27" s="464" t="n">
        <f aca="false">SUM(C27:I27)</f>
        <v>121</v>
      </c>
    </row>
    <row collapsed="false" customFormat="false" customHeight="false" hidden="false" ht="14" outlineLevel="0" r="28">
      <c r="A28" s="479" t="s">
        <v>590</v>
      </c>
      <c r="B28" s="476" t="str">
        <f aca="false">5_Produccion_Desagregada_09_10!C25&amp;""</f>
        <v>Tratamientos de Nefrología (Hemodiálisis)</v>
      </c>
      <c r="C28" s="467" t="n">
        <v>0</v>
      </c>
      <c r="D28" s="480" t="n">
        <v>0</v>
      </c>
      <c r="E28" s="467" t="n">
        <v>0</v>
      </c>
      <c r="F28" s="467" t="n">
        <f aca="false">0.5*22</f>
        <v>11</v>
      </c>
      <c r="G28" s="467" t="n">
        <v>0</v>
      </c>
      <c r="H28" s="467"/>
      <c r="I28" s="467" t="n">
        <f aca="false">4*22</f>
        <v>88</v>
      </c>
      <c r="J28" s="468"/>
      <c r="K28" s="468"/>
      <c r="L28" s="467" t="n">
        <f aca="false">32*22</f>
        <v>704</v>
      </c>
      <c r="M28" s="467"/>
      <c r="N28" s="464" t="n">
        <f aca="false">SUM(C28:I28)</f>
        <v>99</v>
      </c>
    </row>
    <row collapsed="false" customFormat="false" customHeight="false" hidden="false" ht="14" outlineLevel="0" r="29">
      <c r="A29" s="479" t="s">
        <v>591</v>
      </c>
      <c r="B29" s="476" t="str">
        <f aca="false">5_Produccion_Desagregada_09_10!C26&amp;""</f>
        <v>Tratamientos de Oncología </v>
      </c>
      <c r="C29" s="467" t="n">
        <v>0</v>
      </c>
      <c r="D29" s="480" t="n">
        <v>0</v>
      </c>
      <c r="E29" s="467" t="n">
        <v>0</v>
      </c>
      <c r="F29" s="467" t="n">
        <v>0</v>
      </c>
      <c r="G29" s="467" t="n">
        <v>0</v>
      </c>
      <c r="H29" s="467"/>
      <c r="I29" s="467" t="n">
        <f aca="false">8*22</f>
        <v>176</v>
      </c>
      <c r="J29" s="468"/>
      <c r="K29" s="468"/>
      <c r="L29" s="467"/>
      <c r="M29" s="467"/>
      <c r="N29" s="464" t="n">
        <f aca="false">SUM(C29:I29)</f>
        <v>176</v>
      </c>
    </row>
    <row collapsed="false" customFormat="false" customHeight="false" hidden="false" ht="14" outlineLevel="0" r="30">
      <c r="A30" s="479" t="s">
        <v>592</v>
      </c>
      <c r="B30" s="476" t="str">
        <f aca="false">5_Produccion_Desagregada_09_10!C27&amp;""</f>
        <v>Tratamientos de Hematología</v>
      </c>
      <c r="C30" s="467" t="n">
        <v>0</v>
      </c>
      <c r="D30" s="480" t="n">
        <v>0</v>
      </c>
      <c r="E30" s="467" t="n">
        <v>0</v>
      </c>
      <c r="F30" s="467" t="n">
        <f aca="false">1.5*22</f>
        <v>33</v>
      </c>
      <c r="G30" s="467" t="n">
        <v>0</v>
      </c>
      <c r="H30" s="467"/>
      <c r="I30" s="467" t="s">
        <v>350</v>
      </c>
      <c r="J30" s="468"/>
      <c r="K30" s="468"/>
      <c r="L30" s="467"/>
      <c r="M30" s="467" t="n">
        <f aca="false">8*22</f>
        <v>176</v>
      </c>
      <c r="N30" s="464" t="n">
        <f aca="false">SUM(C30:I30)</f>
        <v>33</v>
      </c>
    </row>
    <row collapsed="false" customFormat="false" customHeight="false" hidden="false" ht="14" outlineLevel="0" r="31">
      <c r="A31" s="479" t="s">
        <v>593</v>
      </c>
      <c r="B31" s="476" t="str">
        <f aca="false">5_Produccion_Desagregada_09_10!C28&amp;""</f>
        <v>Tratamientos de Oftalmología</v>
      </c>
      <c r="C31" s="467" t="n">
        <v>0</v>
      </c>
      <c r="D31" s="467" t="n">
        <v>0</v>
      </c>
      <c r="E31" s="467" t="n">
        <v>0</v>
      </c>
      <c r="F31" s="467" t="n">
        <v>0</v>
      </c>
      <c r="G31" s="467" t="n">
        <f aca="false">(2.48+1.05)*22</f>
        <v>77.66</v>
      </c>
      <c r="H31" s="467"/>
      <c r="I31" s="467" t="s">
        <v>350</v>
      </c>
      <c r="J31" s="468"/>
      <c r="K31" s="468"/>
      <c r="L31" s="467"/>
      <c r="M31" s="467"/>
      <c r="N31" s="464" t="n">
        <f aca="false">SUM(C31:I31)</f>
        <v>77.66</v>
      </c>
    </row>
    <row collapsed="false" customFormat="false" customHeight="false" hidden="false" ht="14" outlineLevel="0" r="32">
      <c r="A32" s="479" t="s">
        <v>594</v>
      </c>
      <c r="B32" s="476" t="str">
        <f aca="false">5_Produccion_Desagregada_09_10!C29&amp;""</f>
        <v>Cirugía Ambulatoria</v>
      </c>
      <c r="C32" s="467" t="n">
        <v>0</v>
      </c>
      <c r="D32" s="467" t="n">
        <v>0</v>
      </c>
      <c r="E32" s="467" t="n">
        <v>73.26</v>
      </c>
      <c r="F32" s="467" t="n">
        <v>0</v>
      </c>
      <c r="G32" s="467" t="n">
        <f aca="false">7.23*22</f>
        <v>159.06</v>
      </c>
      <c r="H32" s="467"/>
      <c r="I32" s="467" t="s">
        <v>350</v>
      </c>
      <c r="J32" s="468"/>
      <c r="K32" s="468"/>
      <c r="L32" s="467" t="n">
        <f aca="false">8*22</f>
        <v>176</v>
      </c>
      <c r="M32" s="467"/>
      <c r="N32" s="464" t="n">
        <f aca="false">SUM(C32:I32)</f>
        <v>232.32</v>
      </c>
    </row>
    <row collapsed="false" customFormat="false" customHeight="false" hidden="false" ht="14" outlineLevel="0" r="33">
      <c r="A33" s="479" t="s">
        <v>595</v>
      </c>
      <c r="B33" s="476" t="str">
        <f aca="false">5_Produccion_Desagregada_09_10!C30&amp;""</f>
        <v>Observación </v>
      </c>
      <c r="C33" s="467" t="n">
        <v>0</v>
      </c>
      <c r="D33" s="467" t="n">
        <v>0</v>
      </c>
      <c r="E33" s="467" t="n">
        <v>0</v>
      </c>
      <c r="F33" s="467" t="n">
        <v>0</v>
      </c>
      <c r="G33" s="467" t="n">
        <v>0</v>
      </c>
      <c r="H33" s="467"/>
      <c r="I33" s="467" t="n">
        <f aca="false">32*22</f>
        <v>704</v>
      </c>
      <c r="J33" s="468"/>
      <c r="K33" s="468"/>
      <c r="L33" s="467" t="n">
        <f aca="false">8*22</f>
        <v>176</v>
      </c>
      <c r="M33" s="467" t="n">
        <f aca="false">40*22</f>
        <v>880</v>
      </c>
      <c r="N33" s="464" t="n">
        <f aca="false">SUM(C33:I33)</f>
        <v>704</v>
      </c>
    </row>
    <row collapsed="false" customFormat="false" customHeight="false" hidden="false" ht="14" outlineLevel="0" r="34">
      <c r="A34" s="479" t="s">
        <v>596</v>
      </c>
      <c r="B34" s="476" t="str">
        <f aca="false">5_Produccion_Desagregada_09_10!C31&amp;""</f>
        <v>Maxima urgencias</v>
      </c>
      <c r="C34" s="467" t="n">
        <v>0</v>
      </c>
      <c r="D34" s="467" t="n">
        <v>0</v>
      </c>
      <c r="E34" s="467" t="n">
        <v>0</v>
      </c>
      <c r="F34" s="467" t="n">
        <v>0</v>
      </c>
      <c r="G34" s="467" t="n">
        <v>0</v>
      </c>
      <c r="H34" s="467"/>
      <c r="I34" s="467" t="s">
        <v>597</v>
      </c>
      <c r="J34" s="468"/>
      <c r="K34" s="468"/>
      <c r="L34" s="467" t="n">
        <f aca="false">72*22</f>
        <v>1584</v>
      </c>
      <c r="M34" s="467"/>
      <c r="N34" s="464" t="n">
        <f aca="false">SUM(C34:I34)</f>
        <v>0</v>
      </c>
    </row>
    <row collapsed="false" customFormat="false" customHeight="false" hidden="false" ht="15.2" outlineLevel="0" r="35">
      <c r="A35" s="455" t="s">
        <v>598</v>
      </c>
      <c r="B35" s="459" t="str">
        <f aca="false">5_Produccion_Desagregada_09_10!C32</f>
        <v>Servicios Hospitalarios </v>
      </c>
      <c r="C35" s="460"/>
      <c r="D35" s="460"/>
      <c r="E35" s="460"/>
      <c r="F35" s="460"/>
      <c r="G35" s="460"/>
      <c r="H35" s="460"/>
      <c r="I35" s="460"/>
      <c r="J35" s="460"/>
      <c r="K35" s="460"/>
      <c r="L35" s="460"/>
      <c r="M35" s="460"/>
      <c r="N35" s="461"/>
    </row>
    <row collapsed="false" customFormat="false" customHeight="false" hidden="false" ht="14.9" outlineLevel="0" r="36">
      <c r="A36" s="465" t="s">
        <v>599</v>
      </c>
      <c r="B36" s="466" t="str">
        <f aca="false">5_Produccion_Desagregada_09_10!C34</f>
        <v>Sub Especialidades de Medicina</v>
      </c>
      <c r="C36" s="477"/>
      <c r="D36" s="477"/>
      <c r="E36" s="477"/>
      <c r="F36" s="477"/>
      <c r="G36" s="477"/>
      <c r="H36" s="477"/>
      <c r="I36" s="477"/>
      <c r="J36" s="477"/>
      <c r="K36" s="477"/>
      <c r="L36" s="477"/>
      <c r="M36" s="477"/>
      <c r="N36" s="478"/>
    </row>
    <row collapsed="false" customFormat="false" customHeight="false" hidden="false" ht="14" outlineLevel="0" r="37">
      <c r="A37" s="479" t="s">
        <v>600</v>
      </c>
      <c r="B37" s="476" t="str">
        <f aca="false">5_Produccion_Desagregada_09_10!C35&amp;""</f>
        <v>Medicina Interna </v>
      </c>
      <c r="C37" s="467" t="n">
        <v>0</v>
      </c>
      <c r="D37" s="467" t="n">
        <f aca="false">18*22</f>
        <v>396</v>
      </c>
      <c r="E37" s="467" t="n">
        <v>0</v>
      </c>
      <c r="F37" s="467" t="n">
        <v>0</v>
      </c>
      <c r="G37" s="467" t="n">
        <v>0</v>
      </c>
      <c r="H37" s="467"/>
      <c r="I37" s="467" t="n">
        <f aca="false">32*22</f>
        <v>704</v>
      </c>
      <c r="J37" s="468"/>
      <c r="K37" s="468"/>
      <c r="L37" s="467" t="n">
        <f aca="false">16*22</f>
        <v>352</v>
      </c>
      <c r="M37" s="467" t="n">
        <f aca="false">112*22</f>
        <v>2464</v>
      </c>
      <c r="N37" s="464" t="n">
        <f aca="false">SUM(C37:I37)</f>
        <v>1100</v>
      </c>
    </row>
    <row collapsed="false" customFormat="false" customHeight="false" hidden="false" ht="14" outlineLevel="0" r="38">
      <c r="A38" s="479" t="s">
        <v>601</v>
      </c>
      <c r="B38" s="476" t="str">
        <f aca="false">5_Produccion_Desagregada_09_10!C36&amp;""</f>
        <v>Infectología</v>
      </c>
      <c r="C38" s="467" t="n">
        <v>0</v>
      </c>
      <c r="D38" s="467" t="n">
        <v>0</v>
      </c>
      <c r="E38" s="467" t="n">
        <v>0</v>
      </c>
      <c r="F38" s="467" t="n">
        <f aca="false">8*22</f>
        <v>176</v>
      </c>
      <c r="G38" s="467" t="n">
        <v>0</v>
      </c>
      <c r="H38" s="467"/>
      <c r="I38" s="467" t="n">
        <f aca="false">48*22</f>
        <v>1056</v>
      </c>
      <c r="J38" s="468"/>
      <c r="K38" s="468"/>
      <c r="L38" s="467" t="n">
        <f aca="false">104*22</f>
        <v>2288</v>
      </c>
      <c r="M38" s="467" t="n">
        <f aca="false">144*22</f>
        <v>3168</v>
      </c>
      <c r="N38" s="464" t="n">
        <f aca="false">SUM(C38:I38)</f>
        <v>1232</v>
      </c>
    </row>
    <row collapsed="false" customFormat="false" customHeight="false" hidden="false" ht="14" outlineLevel="0" r="39">
      <c r="A39" s="479" t="s">
        <v>602</v>
      </c>
      <c r="B39" s="476" t="str">
        <f aca="false">5_Produccion_Desagregada_09_10!C37&amp;""</f>
        <v>Nefrología</v>
      </c>
      <c r="C39" s="467" t="n">
        <v>0</v>
      </c>
      <c r="D39" s="467" t="n">
        <v>0</v>
      </c>
      <c r="E39" s="467" t="n">
        <v>0</v>
      </c>
      <c r="F39" s="467" t="n">
        <f aca="false">3*22</f>
        <v>66</v>
      </c>
      <c r="G39" s="467" t="n">
        <v>0</v>
      </c>
      <c r="H39" s="467"/>
      <c r="I39" s="467" t="n">
        <f aca="false">16*22</f>
        <v>352</v>
      </c>
      <c r="J39" s="468"/>
      <c r="K39" s="468"/>
      <c r="L39" s="467" t="n">
        <f aca="false">32*22</f>
        <v>704</v>
      </c>
      <c r="M39" s="467"/>
      <c r="N39" s="464" t="n">
        <f aca="false">SUM(C39:I39)</f>
        <v>418</v>
      </c>
    </row>
    <row collapsed="false" customFormat="false" customHeight="false" hidden="false" ht="14" outlineLevel="0" r="40">
      <c r="A40" s="479" t="s">
        <v>603</v>
      </c>
      <c r="B40" s="476" t="str">
        <f aca="false">5_Produccion_Desagregada_09_10!C38&amp;""</f>
        <v>Hematología</v>
      </c>
      <c r="C40" s="467" t="n">
        <v>0</v>
      </c>
      <c r="D40" s="467" t="n">
        <v>0</v>
      </c>
      <c r="E40" s="467" t="n">
        <v>0</v>
      </c>
      <c r="F40" s="467" t="n">
        <f aca="false">4*22</f>
        <v>88</v>
      </c>
      <c r="G40" s="467" t="n">
        <v>0</v>
      </c>
      <c r="H40" s="467"/>
      <c r="I40" s="467" t="n">
        <f aca="false">16*22</f>
        <v>352</v>
      </c>
      <c r="J40" s="468"/>
      <c r="K40" s="468"/>
      <c r="L40" s="467" t="n">
        <f aca="false">32*22</f>
        <v>704</v>
      </c>
      <c r="M40" s="467" t="n">
        <f aca="false">80*22</f>
        <v>1760</v>
      </c>
      <c r="N40" s="464" t="n">
        <f aca="false">SUM(C40:I40)</f>
        <v>440</v>
      </c>
    </row>
    <row collapsed="false" customFormat="false" customHeight="false" hidden="false" ht="14" outlineLevel="0" r="41">
      <c r="A41" s="479" t="s">
        <v>604</v>
      </c>
      <c r="B41" s="476" t="str">
        <f aca="false">5_Produccion_Desagregada_09_10!C39&amp;""</f>
        <v>Oncología</v>
      </c>
      <c r="C41" s="467" t="n">
        <v>0</v>
      </c>
      <c r="D41" s="467" t="n">
        <v>0</v>
      </c>
      <c r="E41" s="467" t="n">
        <v>0</v>
      </c>
      <c r="F41" s="467" t="n">
        <f aca="false">1.02*22</f>
        <v>22.44</v>
      </c>
      <c r="G41" s="467" t="n">
        <v>0</v>
      </c>
      <c r="H41" s="467"/>
      <c r="I41" s="467" t="n">
        <f aca="false">24*22</f>
        <v>528</v>
      </c>
      <c r="J41" s="468"/>
      <c r="K41" s="468"/>
      <c r="L41" s="467" t="n">
        <f aca="false">136*22</f>
        <v>2992</v>
      </c>
      <c r="M41" s="467" t="n">
        <f aca="false">40*22</f>
        <v>880</v>
      </c>
      <c r="N41" s="464" t="n">
        <f aca="false">SUM(C41:I41)</f>
        <v>550.44</v>
      </c>
    </row>
    <row collapsed="false" customFormat="false" customHeight="false" hidden="false" ht="14" outlineLevel="0" r="42">
      <c r="A42" s="479" t="s">
        <v>605</v>
      </c>
      <c r="B42" s="476" t="str">
        <f aca="false">5_Produccion_Desagregada_09_10!C40&amp;""</f>
        <v>Neonatología</v>
      </c>
      <c r="C42" s="467" t="n">
        <v>0</v>
      </c>
      <c r="D42" s="467" t="n">
        <v>0</v>
      </c>
      <c r="E42" s="467" t="n">
        <v>0</v>
      </c>
      <c r="F42" s="467" t="n">
        <v>0</v>
      </c>
      <c r="G42" s="467" t="n">
        <v>0</v>
      </c>
      <c r="H42" s="467" t="n">
        <f aca="false">24*22</f>
        <v>528</v>
      </c>
      <c r="I42" s="467" t="n">
        <f aca="false">48*22</f>
        <v>1056</v>
      </c>
      <c r="J42" s="468"/>
      <c r="K42" s="468"/>
      <c r="L42" s="467" t="n">
        <f aca="false">64*22</f>
        <v>1408</v>
      </c>
      <c r="M42" s="467" t="n">
        <f aca="false">136*22</f>
        <v>2992</v>
      </c>
      <c r="N42" s="464" t="n">
        <f aca="false">SUM(C42:I42)</f>
        <v>1584</v>
      </c>
    </row>
    <row collapsed="false" customFormat="false" customHeight="false" hidden="false" ht="14.9" outlineLevel="0" r="43">
      <c r="A43" s="465" t="s">
        <v>606</v>
      </c>
      <c r="B43" s="466" t="str">
        <f aca="false">5_Produccion_Desagregada_09_10!C41&amp;""</f>
        <v>Sub Especialidades de Cirugia</v>
      </c>
      <c r="C43" s="477"/>
      <c r="D43" s="477"/>
      <c r="E43" s="477"/>
      <c r="F43" s="477"/>
      <c r="G43" s="477"/>
      <c r="H43" s="477"/>
      <c r="I43" s="477"/>
      <c r="J43" s="477"/>
      <c r="K43" s="477"/>
      <c r="L43" s="477"/>
      <c r="M43" s="477"/>
      <c r="N43" s="478"/>
    </row>
    <row collapsed="false" customFormat="false" customHeight="false" hidden="false" ht="14" outlineLevel="0" r="44">
      <c r="A44" s="479" t="s">
        <v>607</v>
      </c>
      <c r="B44" s="476" t="str">
        <f aca="false">5_Produccion_Desagregada_09_10!C42&amp;""</f>
        <v>Cirugía General</v>
      </c>
      <c r="C44" s="467" t="n">
        <v>0</v>
      </c>
      <c r="D44" s="467" t="n">
        <v>0</v>
      </c>
      <c r="E44" s="467" t="n">
        <v>165.66</v>
      </c>
      <c r="F44" s="467" t="n">
        <v>0</v>
      </c>
      <c r="G44" s="467" t="n">
        <f aca="false">4.82*22</f>
        <v>106.04</v>
      </c>
      <c r="H44" s="467"/>
      <c r="I44" s="467" t="n">
        <f aca="false">8*22</f>
        <v>176</v>
      </c>
      <c r="J44" s="468"/>
      <c r="K44" s="468"/>
      <c r="L44" s="467" t="n">
        <f aca="false">48*22</f>
        <v>1056</v>
      </c>
      <c r="M44" s="467" t="n">
        <f aca="false">80*22</f>
        <v>1760</v>
      </c>
      <c r="N44" s="464" t="n">
        <f aca="false">SUM(C44:I44)</f>
        <v>447.7</v>
      </c>
    </row>
    <row collapsed="false" customFormat="false" customHeight="false" hidden="false" ht="14" outlineLevel="0" r="45">
      <c r="A45" s="479" t="s">
        <v>608</v>
      </c>
      <c r="B45" s="476" t="str">
        <f aca="false">5_Produccion_Desagregada_09_10!C43&amp;""</f>
        <v>Cirugía Plastica</v>
      </c>
      <c r="C45" s="467" t="n">
        <v>0</v>
      </c>
      <c r="D45" s="467" t="n">
        <v>0</v>
      </c>
      <c r="E45" s="467" t="n">
        <v>0</v>
      </c>
      <c r="F45" s="467" t="n">
        <v>0</v>
      </c>
      <c r="G45" s="467" t="n">
        <f aca="false">0.33*22</f>
        <v>7.26</v>
      </c>
      <c r="H45" s="467"/>
      <c r="I45" s="467" t="n">
        <f aca="false">8*22</f>
        <v>176</v>
      </c>
      <c r="J45" s="468"/>
      <c r="K45" s="468"/>
      <c r="L45" s="467" t="n">
        <f aca="false">32*22</f>
        <v>704</v>
      </c>
      <c r="M45" s="467" t="n">
        <f aca="false">72*22</f>
        <v>1584</v>
      </c>
      <c r="N45" s="464" t="n">
        <f aca="false">SUM(C45:I45)</f>
        <v>183.26</v>
      </c>
    </row>
    <row collapsed="false" customFormat="false" customHeight="false" hidden="false" ht="14" outlineLevel="0" r="46">
      <c r="A46" s="479" t="s">
        <v>609</v>
      </c>
      <c r="B46" s="476" t="str">
        <f aca="false">5_Produccion_Desagregada_09_10!C44&amp;""</f>
        <v>Neurocirugía</v>
      </c>
      <c r="C46" s="467" t="n">
        <v>0</v>
      </c>
      <c r="D46" s="467" t="n">
        <v>0</v>
      </c>
      <c r="E46" s="467" t="n">
        <v>0</v>
      </c>
      <c r="F46" s="467" t="n">
        <v>0</v>
      </c>
      <c r="G46" s="467" t="n">
        <f aca="false">2.08*22</f>
        <v>45.76</v>
      </c>
      <c r="H46" s="467"/>
      <c r="I46" s="467" t="n">
        <f aca="false">8*22</f>
        <v>176</v>
      </c>
      <c r="J46" s="468"/>
      <c r="K46" s="468"/>
      <c r="L46" s="467" t="n">
        <f aca="false">32*22</f>
        <v>704</v>
      </c>
      <c r="M46" s="467" t="n">
        <f aca="false">112*22</f>
        <v>2464</v>
      </c>
      <c r="N46" s="464" t="n">
        <f aca="false">SUM(C46:I46)</f>
        <v>221.76</v>
      </c>
    </row>
    <row collapsed="false" customFormat="false" customHeight="false" hidden="false" ht="14" outlineLevel="0" r="47">
      <c r="A47" s="479" t="s">
        <v>610</v>
      </c>
      <c r="B47" s="476" t="str">
        <f aca="false">5_Produccion_Desagregada_09_10!C45&amp;""</f>
        <v>Oftalmología</v>
      </c>
      <c r="C47" s="467" t="n">
        <v>0</v>
      </c>
      <c r="D47" s="467" t="n">
        <v>0</v>
      </c>
      <c r="E47" s="467" t="n">
        <v>0</v>
      </c>
      <c r="F47" s="467" t="n">
        <v>0</v>
      </c>
      <c r="G47" s="467" t="n">
        <f aca="false">3.7*22</f>
        <v>81.4</v>
      </c>
      <c r="H47" s="467"/>
      <c r="I47" s="467" t="n">
        <f aca="false">4*22</f>
        <v>88</v>
      </c>
      <c r="J47" s="468"/>
      <c r="K47" s="468"/>
      <c r="L47" s="467" t="n">
        <f aca="false">24*32</f>
        <v>768</v>
      </c>
      <c r="M47" s="467" t="n">
        <f aca="false">24*22</f>
        <v>528</v>
      </c>
      <c r="N47" s="464" t="n">
        <f aca="false">SUM(C47:I47)</f>
        <v>169.4</v>
      </c>
    </row>
    <row collapsed="false" customFormat="false" customHeight="false" hidden="false" ht="14" outlineLevel="0" r="48">
      <c r="A48" s="479" t="s">
        <v>611</v>
      </c>
      <c r="B48" s="476" t="str">
        <f aca="false">5_Produccion_Desagregada_09_10!C46&amp;""</f>
        <v>Otorrinolaringología</v>
      </c>
      <c r="C48" s="467" t="n">
        <v>0</v>
      </c>
      <c r="D48" s="467" t="n">
        <v>0</v>
      </c>
      <c r="E48" s="467" t="n">
        <v>0</v>
      </c>
      <c r="F48" s="467" t="n">
        <v>0</v>
      </c>
      <c r="G48" s="467" t="n">
        <f aca="false">3.2*22</f>
        <v>70.4</v>
      </c>
      <c r="H48" s="467"/>
      <c r="I48" s="467" t="n">
        <f aca="false">4*22</f>
        <v>88</v>
      </c>
      <c r="J48" s="468"/>
      <c r="K48" s="468"/>
      <c r="L48" s="467" t="n">
        <f aca="false">24*32</f>
        <v>768</v>
      </c>
      <c r="M48" s="467" t="n">
        <f aca="false">24*22</f>
        <v>528</v>
      </c>
      <c r="N48" s="464" t="n">
        <f aca="false">SUM(C48:I48)</f>
        <v>158.4</v>
      </c>
    </row>
    <row collapsed="false" customFormat="false" customHeight="false" hidden="false" ht="14" outlineLevel="0" r="49">
      <c r="A49" s="479" t="s">
        <v>612</v>
      </c>
      <c r="B49" s="476" t="str">
        <f aca="false">5_Produccion_Desagregada_09_10!C47&amp;""</f>
        <v>Ortopedia</v>
      </c>
      <c r="C49" s="467" t="n">
        <v>0</v>
      </c>
      <c r="D49" s="467" t="n">
        <v>0</v>
      </c>
      <c r="E49" s="467" t="n">
        <v>0</v>
      </c>
      <c r="F49" s="467" t="n">
        <v>0</v>
      </c>
      <c r="G49" s="467" t="n">
        <f aca="false">2.07*22</f>
        <v>45.54</v>
      </c>
      <c r="H49" s="467"/>
      <c r="I49" s="467" t="n">
        <f aca="false">8*22</f>
        <v>176</v>
      </c>
      <c r="J49" s="468"/>
      <c r="K49" s="468"/>
      <c r="L49" s="467" t="n">
        <f aca="false">32*22</f>
        <v>704</v>
      </c>
      <c r="M49" s="467" t="n">
        <f aca="false">48*22</f>
        <v>1056</v>
      </c>
      <c r="N49" s="464" t="n">
        <f aca="false">SUM(C49:I49)</f>
        <v>221.54</v>
      </c>
    </row>
    <row collapsed="false" customFormat="false" customHeight="false" hidden="false" ht="14.9" outlineLevel="0" r="50">
      <c r="A50" s="465" t="s">
        <v>613</v>
      </c>
      <c r="B50" s="466" t="str">
        <f aca="false">5_Produccion_Desagregada_09_10!C48&amp;""</f>
        <v>Otros Servicios (Convenios / BM / ISSS)</v>
      </c>
      <c r="C50" s="467" t="n">
        <v>0</v>
      </c>
      <c r="D50" s="467" t="n">
        <v>0</v>
      </c>
      <c r="E50" s="467" t="n">
        <v>0</v>
      </c>
      <c r="F50" s="467" t="n">
        <v>0</v>
      </c>
      <c r="G50" s="467" t="n">
        <v>0</v>
      </c>
      <c r="H50" s="467"/>
      <c r="I50" s="467" t="s">
        <v>350</v>
      </c>
      <c r="J50" s="468"/>
      <c r="K50" s="468"/>
      <c r="L50" s="467" t="n">
        <f aca="false">40*22</f>
        <v>880</v>
      </c>
      <c r="M50" s="467" t="n">
        <f aca="false">40*22</f>
        <v>880</v>
      </c>
      <c r="N50" s="464" t="n">
        <f aca="false">SUM(C50:I50)</f>
        <v>0</v>
      </c>
    </row>
    <row collapsed="false" customFormat="false" customHeight="false" hidden="false" ht="14.9" outlineLevel="0" r="51">
      <c r="A51" s="465" t="s">
        <v>614</v>
      </c>
      <c r="B51" s="466" t="str">
        <f aca="false">5_Produccion_Desagregada_09_10!C49&amp;""</f>
        <v>Centro Quirurgico (Cirugías Mayores)</v>
      </c>
      <c r="C51" s="467" t="n">
        <v>0</v>
      </c>
      <c r="D51" s="467" t="n">
        <v>0</v>
      </c>
      <c r="E51" s="467" t="n">
        <v>665.06</v>
      </c>
      <c r="F51" s="467" t="n">
        <v>0</v>
      </c>
      <c r="G51" s="467" t="n">
        <f aca="false">132*22</f>
        <v>2904</v>
      </c>
      <c r="H51" s="467"/>
      <c r="I51" s="467" t="s">
        <v>350</v>
      </c>
      <c r="J51" s="468"/>
      <c r="K51" s="468"/>
      <c r="L51" s="467" t="n">
        <f aca="false">120*22</f>
        <v>2640</v>
      </c>
      <c r="M51" s="467" t="n">
        <f aca="false">144*22</f>
        <v>3168</v>
      </c>
      <c r="N51" s="464" t="n">
        <f aca="false">SUM(C51:I51)</f>
        <v>3569.06</v>
      </c>
    </row>
    <row collapsed="false" customFormat="false" customHeight="false" hidden="false" ht="14.9" outlineLevel="0" r="52">
      <c r="A52" s="465" t="s">
        <v>615</v>
      </c>
      <c r="B52" s="466" t="str">
        <f aca="false">5_Produccion_Desagregada_09_10!C54&amp;""</f>
        <v>Cuidados Criticos</v>
      </c>
      <c r="C52" s="477"/>
      <c r="D52" s="477"/>
      <c r="E52" s="477"/>
      <c r="F52" s="477"/>
      <c r="G52" s="477"/>
      <c r="H52" s="477"/>
      <c r="I52" s="477"/>
      <c r="J52" s="477"/>
      <c r="K52" s="477"/>
      <c r="L52" s="477"/>
      <c r="M52" s="477"/>
      <c r="N52" s="482"/>
    </row>
    <row collapsed="false" customFormat="false" customHeight="false" hidden="false" ht="14" outlineLevel="0" r="53">
      <c r="A53" s="479" t="s">
        <v>616</v>
      </c>
      <c r="B53" s="476" t="str">
        <f aca="false">5_Produccion_Desagregada_09_10!C55</f>
        <v>Unidad de Cuidados Intensivos</v>
      </c>
      <c r="C53" s="467" t="n">
        <v>0</v>
      </c>
      <c r="D53" s="467" t="n">
        <v>0</v>
      </c>
      <c r="E53" s="467" t="n">
        <v>0</v>
      </c>
      <c r="F53" s="467" t="n">
        <f aca="false">14*22</f>
        <v>308</v>
      </c>
      <c r="G53" s="467" t="n">
        <v>0</v>
      </c>
      <c r="H53" s="467"/>
      <c r="I53" s="467" t="n">
        <f aca="false">40*22</f>
        <v>880</v>
      </c>
      <c r="J53" s="468"/>
      <c r="K53" s="468"/>
      <c r="L53" s="467" t="n">
        <f aca="false">168*22</f>
        <v>3696</v>
      </c>
      <c r="M53" s="467" t="n">
        <f aca="false">40*22</f>
        <v>880</v>
      </c>
      <c r="N53" s="464" t="n">
        <f aca="false">SUM(C53:I53)</f>
        <v>1188</v>
      </c>
    </row>
    <row collapsed="false" customFormat="false" customHeight="false" hidden="false" ht="14" outlineLevel="0" r="54">
      <c r="A54" s="479" t="s">
        <v>617</v>
      </c>
      <c r="B54" s="476" t="str">
        <f aca="false">5_Produccion_Desagregada_09_10!C56</f>
        <v>Unidad de Cuidados Intermedios</v>
      </c>
      <c r="C54" s="467" t="n">
        <v>0</v>
      </c>
      <c r="D54" s="467" t="n">
        <v>0</v>
      </c>
      <c r="E54" s="467" t="n">
        <v>0</v>
      </c>
      <c r="F54" s="467" t="n">
        <f aca="false">8*22</f>
        <v>176</v>
      </c>
      <c r="G54" s="467" t="n">
        <v>0</v>
      </c>
      <c r="H54" s="467"/>
      <c r="I54" s="467" t="n">
        <f aca="false">16*22</f>
        <v>352</v>
      </c>
      <c r="J54" s="468"/>
      <c r="K54" s="468"/>
      <c r="L54" s="467" t="n">
        <f aca="false">80*22</f>
        <v>1760</v>
      </c>
      <c r="M54" s="467" t="n">
        <v>0</v>
      </c>
      <c r="N54" s="464" t="n">
        <f aca="false">SUM(C54:I54)</f>
        <v>528</v>
      </c>
    </row>
    <row collapsed="false" customFormat="false" customHeight="false" hidden="false" ht="14" outlineLevel="0" r="55">
      <c r="A55" s="479" t="s">
        <v>618</v>
      </c>
      <c r="B55" s="476" t="str">
        <f aca="false">5_Produccion_Desagregada_09_10!C57</f>
        <v>Unidad de Cuidados Intensivos Neonatales</v>
      </c>
      <c r="C55" s="467" t="n">
        <v>0</v>
      </c>
      <c r="D55" s="467" t="n">
        <v>0</v>
      </c>
      <c r="E55" s="467" t="n">
        <v>0</v>
      </c>
      <c r="F55" s="467" t="n">
        <f aca="false">8*22</f>
        <v>176</v>
      </c>
      <c r="G55" s="467" t="n">
        <v>0</v>
      </c>
      <c r="H55" s="467" t="n">
        <v>11</v>
      </c>
      <c r="I55" s="467" t="n">
        <f aca="false">32*22</f>
        <v>704</v>
      </c>
      <c r="J55" s="468"/>
      <c r="K55" s="468"/>
      <c r="L55" s="467" t="n">
        <f aca="false">152*22</f>
        <v>3344</v>
      </c>
      <c r="M55" s="467" t="n">
        <v>0</v>
      </c>
      <c r="N55" s="464" t="n">
        <f aca="false">SUM(C55:I55)</f>
        <v>891</v>
      </c>
    </row>
    <row collapsed="false" customFormat="false" customHeight="true" hidden="false" ht="5.25" outlineLevel="0" r="56">
      <c r="A56" s="483"/>
      <c r="B56" s="484"/>
      <c r="C56" s="485"/>
      <c r="D56" s="485"/>
      <c r="E56" s="485"/>
      <c r="F56" s="485"/>
      <c r="G56" s="485"/>
      <c r="H56" s="485"/>
      <c r="I56" s="485"/>
      <c r="J56" s="485"/>
      <c r="K56" s="485"/>
      <c r="L56" s="485"/>
      <c r="M56" s="485"/>
      <c r="N56" s="486"/>
    </row>
    <row collapsed="false" customFormat="false" customHeight="false" hidden="false" ht="14" outlineLevel="0" r="57">
      <c r="A57" s="455" t="s">
        <v>619</v>
      </c>
      <c r="B57" s="487" t="s">
        <v>620</v>
      </c>
      <c r="C57" s="488" t="n">
        <f aca="false">SUM(C10:C55)</f>
        <v>132</v>
      </c>
      <c r="D57" s="488" t="n">
        <f aca="false">SUM(D10:D55)</f>
        <v>1826</v>
      </c>
      <c r="E57" s="488" t="n">
        <f aca="false">SUM(E10:E55)</f>
        <v>1287.66</v>
      </c>
      <c r="F57" s="488" t="n">
        <f aca="false">SUM(F10:F55)</f>
        <v>4052.4</v>
      </c>
      <c r="G57" s="488" t="n">
        <f aca="false">SUM(G10:G55)</f>
        <v>5629.44</v>
      </c>
      <c r="H57" s="488" t="n">
        <f aca="false">SUM(H10:H55)</f>
        <v>902</v>
      </c>
      <c r="I57" s="488" t="n">
        <f aca="false">SUM(I10:I55)</f>
        <v>11264</v>
      </c>
      <c r="J57" s="488" t="n">
        <f aca="false">SUM(J10:J55)</f>
        <v>484</v>
      </c>
      <c r="K57" s="488" t="n">
        <f aca="false">SUM(K10:K55)</f>
        <v>88</v>
      </c>
      <c r="L57" s="488" t="n">
        <f aca="false">SUM(L10:L55)</f>
        <v>32688</v>
      </c>
      <c r="M57" s="488" t="n">
        <f aca="false">SUM(M10:M55)</f>
        <v>27984</v>
      </c>
      <c r="N57" s="489"/>
    </row>
    <row collapsed="false" customFormat="false" customHeight="false" hidden="false" ht="14.9" outlineLevel="0" r="58">
      <c r="A58" s="455" t="s">
        <v>621</v>
      </c>
      <c r="B58" s="490" t="s">
        <v>622</v>
      </c>
      <c r="C58" s="491" t="str">
        <f aca="false">IF(C6=SUM(C8,C57),"SI","NO")</f>
        <v>SI</v>
      </c>
      <c r="D58" s="491" t="str">
        <f aca="false">IF(D6=SUM(D8,D57),"SI","NO")</f>
        <v>SI</v>
      </c>
      <c r="E58" s="491" t="str">
        <f aca="false">IF(E6=SUM(E8,E57),"SI","NO")</f>
        <v>SI</v>
      </c>
      <c r="F58" s="491" t="str">
        <f aca="false">IF(F6=SUM(F8,F57),"SI","NO")</f>
        <v>SI</v>
      </c>
      <c r="G58" s="491" t="str">
        <f aca="false">IF(G6=SUM(G8,G57),"SI","NO")</f>
        <v>SI</v>
      </c>
      <c r="H58" s="491" t="str">
        <f aca="false">IF(H6=SUM(H8,H57),"SI","NO")</f>
        <v>SI</v>
      </c>
      <c r="I58" s="491" t="str">
        <f aca="false">IF(I6=SUM(I8,I57),"SI","NO")</f>
        <v>SI</v>
      </c>
      <c r="J58" s="491" t="str">
        <f aca="false">IF(J6=SUM(J8,J57),"SI","NO")</f>
        <v>SI</v>
      </c>
      <c r="K58" s="491" t="str">
        <f aca="false">IF(K6=SUM(K8,K57),"SI","NO")</f>
        <v>SI</v>
      </c>
      <c r="L58" s="491" t="str">
        <f aca="false">IF(L6=SUM(L8,L57),"SI","NO")</f>
        <v>SI</v>
      </c>
      <c r="M58" s="491" t="str">
        <f aca="false">IF(M6=SUM(M8,M57),"SI","NO")</f>
        <v>SI</v>
      </c>
      <c r="N58" s="458"/>
    </row>
    <row collapsed="false" customFormat="false" customHeight="false" hidden="false" ht="14" outlineLevel="0" r="59">
      <c r="A59" s="455" t="s">
        <v>623</v>
      </c>
      <c r="B59" s="492" t="s">
        <v>624</v>
      </c>
      <c r="C59" s="493" t="n">
        <f aca="false">IF(ISERROR(C8/C6),"",C8/C6)</f>
        <v>0.571428571428571</v>
      </c>
      <c r="D59" s="493" t="n">
        <f aca="false">IF(ISERROR(D8/D6),"",D8/D6)</f>
        <v>0.3515625</v>
      </c>
      <c r="E59" s="493" t="n">
        <f aca="false">IF(ISERROR(E8/E6),"",E8/E6)</f>
        <v>0.286219512195122</v>
      </c>
      <c r="F59" s="493" t="n">
        <f aca="false">IF(ISERROR(F8/F6),"",F8/F6)</f>
        <v>0.199130434782609</v>
      </c>
      <c r="G59" s="493" t="n">
        <f aca="false">IF(ISERROR(G8/G6),"",G8/G6)</f>
        <v>0.17986013986014</v>
      </c>
      <c r="H59" s="493" t="n">
        <f aca="false">IF(ISERROR(H8/H6),"",H8/H6)</f>
        <v>0.397058823529412</v>
      </c>
      <c r="I59" s="493" t="n">
        <f aca="false">IF(ISERROR(I8/I6),"",I8/I6)</f>
        <v>0.146666666666667</v>
      </c>
      <c r="J59" s="493" t="n">
        <f aca="false">IF(ISERROR(J8/J6),"",J8/J6)</f>
        <v>0</v>
      </c>
      <c r="K59" s="493" t="n">
        <f aca="false">IF(ISERROR(K8/K6),"",K8/K6)</f>
        <v>0</v>
      </c>
      <c r="L59" s="493" t="n">
        <f aca="false">IF(ISERROR(L8/L6),"",L8/L6)</f>
        <v>0.174545454545455</v>
      </c>
      <c r="M59" s="493" t="n">
        <f aca="false">IF(ISERROR(M8/M6),"",M8/M6)</f>
        <v>0.0809248554913295</v>
      </c>
      <c r="N59" s="458"/>
    </row>
    <row collapsed="false" customFormat="false" customHeight="false" hidden="false" ht="14" outlineLevel="0" r="60">
      <c r="A60" s="494" t="s">
        <v>625</v>
      </c>
      <c r="B60" s="495" t="s">
        <v>626</v>
      </c>
      <c r="C60" s="496" t="n">
        <f aca="false">IF(ISERROR(C57/C6),"",C57/C6)</f>
        <v>0.428571428571429</v>
      </c>
      <c r="D60" s="496" t="n">
        <f aca="false">IF(ISERROR(D57/D6),"",D57/D6)</f>
        <v>0.6484375</v>
      </c>
      <c r="E60" s="496" t="n">
        <f aca="false">IF(ISERROR(E57/E6),"",E57/E6)</f>
        <v>0.713780487804878</v>
      </c>
      <c r="F60" s="496" t="n">
        <f aca="false">IF(ISERROR(F57/F6),"",F57/F6)</f>
        <v>0.800869565217391</v>
      </c>
      <c r="G60" s="496" t="n">
        <f aca="false">IF(ISERROR(G57/G6),"",G57/G6)</f>
        <v>0.82013986013986</v>
      </c>
      <c r="H60" s="496" t="n">
        <f aca="false">IF(ISERROR(H57/H6),"",H57/H6)</f>
        <v>0.602941176470588</v>
      </c>
      <c r="I60" s="496" t="n">
        <f aca="false">IF(ISERROR(I57/I6),"",I57/I6)</f>
        <v>0.853333333333333</v>
      </c>
      <c r="J60" s="496" t="n">
        <f aca="false">IF(ISERROR(J57/J6),"",J57/J6)</f>
        <v>1</v>
      </c>
      <c r="K60" s="496" t="n">
        <f aca="false">IF(ISERROR(K57/K6),"",K57/K6)</f>
        <v>1</v>
      </c>
      <c r="L60" s="496" t="n">
        <f aca="false">IF(ISERROR(L57/L6),"",L57/L6)</f>
        <v>0.825454545454545</v>
      </c>
      <c r="M60" s="496" t="n">
        <f aca="false">IF(ISERROR(M57/M6),"",M57/M6)</f>
        <v>0.919075144508671</v>
      </c>
      <c r="N60" s="497"/>
    </row>
  </sheetData>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sheetPr filterMode="false">
    <pageSetUpPr fitToPage="false"/>
  </sheetPr>
  <dimension ref="B1:AJ15"/>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5" activeCellId="0" pane="topLeft" sqref="A15"/>
    </sheetView>
  </sheetViews>
  <cols>
    <col collapsed="false" hidden="false" max="1" min="1" style="498" width="2.58039215686275"/>
    <col collapsed="false" hidden="false" max="2" min="2" style="498" width="31.5607843137255"/>
    <col collapsed="false" hidden="false" max="5" min="3" style="498" width="11.4745098039216"/>
    <col collapsed="false" hidden="false" max="6" min="6" style="498" width="13.7686274509804"/>
    <col collapsed="false" hidden="false" max="16" min="7" style="498" width="11.4745098039216"/>
    <col collapsed="false" hidden="false" max="17" min="17" style="498" width="16.2078431372549"/>
    <col collapsed="false" hidden="false" max="257" min="18" style="498" width="11.4745098039216"/>
  </cols>
  <sheetData>
    <row collapsed="false" customFormat="true" customHeight="false" hidden="false" ht="15.2" outlineLevel="0" r="1" s="499">
      <c r="B1" s="500" t="s">
        <v>627</v>
      </c>
    </row>
    <row collapsed="false" customFormat="true" customHeight="false" hidden="false" ht="12.8" outlineLevel="0" r="2" s="499">
      <c r="B2" s="501"/>
    </row>
    <row collapsed="false" customFormat="false" customHeight="true" hidden="false" ht="13.5" outlineLevel="0" r="3">
      <c r="B3" s="502"/>
      <c r="C3" s="503" t="s">
        <v>628</v>
      </c>
      <c r="D3" s="503"/>
      <c r="E3" s="503"/>
      <c r="F3" s="503"/>
      <c r="G3" s="504" t="s">
        <v>629</v>
      </c>
      <c r="H3" s="504"/>
      <c r="I3" s="504"/>
      <c r="J3" s="504"/>
      <c r="K3" s="504"/>
      <c r="L3" s="505" t="s">
        <v>630</v>
      </c>
      <c r="M3" s="505"/>
      <c r="N3" s="505"/>
      <c r="O3" s="505"/>
      <c r="P3" s="505"/>
      <c r="Q3" s="506" t="s">
        <v>631</v>
      </c>
      <c r="R3" s="398" t="s">
        <v>632</v>
      </c>
      <c r="S3" s="398"/>
      <c r="T3" s="398"/>
      <c r="U3" s="398"/>
      <c r="V3" s="398"/>
      <c r="W3" s="504" t="s">
        <v>633</v>
      </c>
      <c r="X3" s="504"/>
      <c r="Y3" s="504"/>
      <c r="Z3" s="504"/>
      <c r="AA3" s="504"/>
      <c r="AB3" s="505" t="s">
        <v>634</v>
      </c>
      <c r="AC3" s="505"/>
      <c r="AD3" s="505"/>
      <c r="AE3" s="505"/>
      <c r="AF3" s="505"/>
      <c r="AG3" s="398" t="s">
        <v>635</v>
      </c>
      <c r="AH3" s="398"/>
      <c r="AI3" s="398"/>
      <c r="AJ3" s="398"/>
    </row>
    <row collapsed="false" customFormat="false" customHeight="false" hidden="false" ht="23.85" outlineLevel="0" r="4">
      <c r="B4" s="507" t="s">
        <v>636</v>
      </c>
      <c r="C4" s="508" t="s">
        <v>637</v>
      </c>
      <c r="D4" s="509" t="s">
        <v>638</v>
      </c>
      <c r="E4" s="510" t="s">
        <v>639</v>
      </c>
      <c r="F4" s="511" t="s">
        <v>640</v>
      </c>
      <c r="G4" s="508" t="s">
        <v>637</v>
      </c>
      <c r="H4" s="509" t="s">
        <v>641</v>
      </c>
      <c r="I4" s="509" t="s">
        <v>638</v>
      </c>
      <c r="J4" s="509" t="s">
        <v>639</v>
      </c>
      <c r="K4" s="511" t="s">
        <v>640</v>
      </c>
      <c r="L4" s="508" t="s">
        <v>637</v>
      </c>
      <c r="M4" s="512" t="s">
        <v>641</v>
      </c>
      <c r="N4" s="509" t="s">
        <v>638</v>
      </c>
      <c r="O4" s="510" t="s">
        <v>639</v>
      </c>
      <c r="P4" s="511" t="s">
        <v>640</v>
      </c>
      <c r="Q4" s="506"/>
      <c r="R4" s="513" t="s">
        <v>637</v>
      </c>
      <c r="S4" s="514" t="s">
        <v>641</v>
      </c>
      <c r="T4" s="515" t="s">
        <v>638</v>
      </c>
      <c r="U4" s="516" t="s">
        <v>639</v>
      </c>
      <c r="V4" s="516" t="s">
        <v>642</v>
      </c>
      <c r="W4" s="508" t="s">
        <v>637</v>
      </c>
      <c r="X4" s="509" t="s">
        <v>641</v>
      </c>
      <c r="Y4" s="509" t="s">
        <v>638</v>
      </c>
      <c r="Z4" s="509" t="s">
        <v>639</v>
      </c>
      <c r="AA4" s="511" t="s">
        <v>640</v>
      </c>
      <c r="AB4" s="508" t="s">
        <v>637</v>
      </c>
      <c r="AC4" s="512" t="s">
        <v>641</v>
      </c>
      <c r="AD4" s="509" t="s">
        <v>638</v>
      </c>
      <c r="AE4" s="510" t="s">
        <v>639</v>
      </c>
      <c r="AF4" s="511" t="s">
        <v>640</v>
      </c>
      <c r="AG4" s="513" t="s">
        <v>637</v>
      </c>
      <c r="AH4" s="515" t="s">
        <v>641</v>
      </c>
      <c r="AI4" s="515" t="s">
        <v>638</v>
      </c>
      <c r="AJ4" s="517" t="s">
        <v>639</v>
      </c>
    </row>
    <row collapsed="false" customFormat="false" customHeight="false" hidden="false" ht="15.65" outlineLevel="0" r="5">
      <c r="B5" s="518" t="s">
        <v>643</v>
      </c>
      <c r="C5" s="519" t="n">
        <v>15425930</v>
      </c>
      <c r="D5" s="520" t="n">
        <v>0</v>
      </c>
      <c r="E5" s="521" t="n">
        <f aca="false">SUM(C5:D5)</f>
        <v>15425930</v>
      </c>
      <c r="F5" s="522" t="n">
        <f aca="false">IF(ISERROR(E5/$E$15),"",E5/$E$15)</f>
        <v>0.680237224217366</v>
      </c>
      <c r="G5" s="519" t="n">
        <v>15323535</v>
      </c>
      <c r="H5" s="523" t="n">
        <v>0</v>
      </c>
      <c r="I5" s="523" t="n">
        <v>0</v>
      </c>
      <c r="J5" s="521" t="n">
        <f aca="false">SUM(G5:I5)</f>
        <v>15323535</v>
      </c>
      <c r="K5" s="522" t="n">
        <f aca="false">IF(ISERROR(J5/$J$15),"",J5/$J$15)</f>
        <v>0.708221235727342</v>
      </c>
      <c r="L5" s="524" t="n">
        <v>15318847</v>
      </c>
      <c r="M5" s="520" t="n">
        <v>0</v>
      </c>
      <c r="N5" s="520" t="n">
        <v>0</v>
      </c>
      <c r="O5" s="521" t="n">
        <f aca="false">SUM(L5:N5)</f>
        <v>15318847</v>
      </c>
      <c r="P5" s="522" t="n">
        <f aca="false">IF(ISERROR(O5/$O$15),"",O5/$O$15)</f>
        <v>0.708158297126478</v>
      </c>
      <c r="Q5" s="525" t="n">
        <f aca="false">IF(ISERROR(O5/J5),"",O5/J5)</f>
        <v>0.999694065370686</v>
      </c>
      <c r="R5" s="524" t="n">
        <v>16436795</v>
      </c>
      <c r="S5" s="520" t="n">
        <v>0</v>
      </c>
      <c r="T5" s="520" t="n">
        <v>0</v>
      </c>
      <c r="U5" s="521" t="n">
        <f aca="false">SUM(R5:T5)</f>
        <v>16436795</v>
      </c>
      <c r="V5" s="526" t="n">
        <f aca="false">IF(ISERROR(U5/$U$15),"",U5/$U$15)</f>
        <v>0.687913773032498</v>
      </c>
      <c r="W5" s="524" t="n">
        <v>16436795</v>
      </c>
      <c r="X5" s="520" t="n">
        <v>0</v>
      </c>
      <c r="Y5" s="520" t="n">
        <v>0</v>
      </c>
      <c r="Z5" s="521" t="n">
        <f aca="false">SUM(W5:Y5)</f>
        <v>16436795</v>
      </c>
      <c r="AA5" s="522" t="n">
        <f aca="false">IF(ISERROR(Z5/$J$15),"",Z5/$J$15)</f>
        <v>0.75967374801552</v>
      </c>
      <c r="AB5" s="524"/>
      <c r="AC5" s="520"/>
      <c r="AD5" s="520"/>
      <c r="AE5" s="521" t="n">
        <f aca="false">SUM(AB5:AD5)</f>
        <v>0</v>
      </c>
      <c r="AF5" s="522" t="n">
        <f aca="false">IF(ISERROR(AE5/$O$15),"",AE5/$O$15)</f>
        <v>0</v>
      </c>
      <c r="AG5" s="527" t="n">
        <f aca="false">IF(ISERROR(R5/G5-1),"",R5/G5-1)</f>
        <v>0.0726503381889361</v>
      </c>
      <c r="AH5" s="528" t="str">
        <f aca="false">IF(ISERROR(S5/H5-1),"",S5/H5-1)</f>
        <v/>
      </c>
      <c r="AI5" s="528" t="str">
        <f aca="false">IF(ISERROR(T5/I5-1),"",T5/I5-1)</f>
        <v/>
      </c>
      <c r="AJ5" s="522" t="n">
        <f aca="false">IF(ISERROR(U5/J5-1),"",U5/J5-1)</f>
        <v>0.0726503381889361</v>
      </c>
    </row>
    <row collapsed="false" customFormat="false" customHeight="false" hidden="false" ht="15.65" outlineLevel="0" r="6">
      <c r="B6" s="529" t="s">
        <v>644</v>
      </c>
      <c r="C6" s="519" t="n">
        <v>2269440</v>
      </c>
      <c r="D6" s="520" t="n">
        <v>134000</v>
      </c>
      <c r="E6" s="530" t="n">
        <f aca="false">SUM(C6:D6)</f>
        <v>2403440</v>
      </c>
      <c r="F6" s="531" t="n">
        <f aca="false">IF(ISERROR(E6/$E$15),"",E6/$E$15)</f>
        <v>0.105984491967291</v>
      </c>
      <c r="G6" s="519" t="n">
        <v>138022</v>
      </c>
      <c r="H6" s="523" t="n">
        <v>99320</v>
      </c>
      <c r="I6" s="523" t="n">
        <v>155531</v>
      </c>
      <c r="J6" s="530" t="n">
        <f aca="false">SUM(G6:I6)</f>
        <v>392873</v>
      </c>
      <c r="K6" s="531" t="n">
        <f aca="false">IF(ISERROR(J6/$J$15),"",J6/$J$15)</f>
        <v>0.0181577554750851</v>
      </c>
      <c r="L6" s="524" t="n">
        <v>138022</v>
      </c>
      <c r="M6" s="520" t="n">
        <v>99320</v>
      </c>
      <c r="N6" s="520" t="n">
        <v>155531</v>
      </c>
      <c r="O6" s="530" t="n">
        <f aca="false">SUM(L6:N6)</f>
        <v>392873</v>
      </c>
      <c r="P6" s="531" t="n">
        <f aca="false">IF(ISERROR(O6/$O$15),"",O6/$O$15)</f>
        <v>0.0181616981138966</v>
      </c>
      <c r="Q6" s="532" t="n">
        <f aca="false">IF(ISERROR(O6/J6),"",O6/J6)</f>
        <v>1</v>
      </c>
      <c r="R6" s="524" t="n">
        <v>2269440</v>
      </c>
      <c r="S6" s="520" t="n">
        <v>0</v>
      </c>
      <c r="T6" s="520" t="n">
        <v>150000</v>
      </c>
      <c r="U6" s="530" t="n">
        <f aca="false">SUM(R6:T6)</f>
        <v>2419440</v>
      </c>
      <c r="V6" s="533" t="n">
        <f aca="false">IF(ISERROR(U6/$U$15),"",U6/$U$15)</f>
        <v>0.101258554300017</v>
      </c>
      <c r="W6" s="524" t="n">
        <f aca="false">86019.5+2269440</f>
        <v>2355459.5</v>
      </c>
      <c r="X6" s="520" t="n">
        <v>0</v>
      </c>
      <c r="Y6" s="520" t="n">
        <v>134535</v>
      </c>
      <c r="Z6" s="530" t="n">
        <f aca="false">SUM(W6:Y6)</f>
        <v>2489994.5</v>
      </c>
      <c r="AA6" s="531" t="n">
        <f aca="false">IF(ISERROR(Z6/$J$15),"",Z6/$J$15)</f>
        <v>0.115082256264255</v>
      </c>
      <c r="AB6" s="524"/>
      <c r="AC6" s="520"/>
      <c r="AD6" s="520"/>
      <c r="AE6" s="530" t="n">
        <f aca="false">SUM(AB6:AD6)</f>
        <v>0</v>
      </c>
      <c r="AF6" s="531" t="n">
        <f aca="false">IF(ISERROR(AE6/$O$15),"",AE6/$O$15)</f>
        <v>0</v>
      </c>
      <c r="AG6" s="534" t="n">
        <f aca="false">IF(ISERROR(R6/G6-1),"",R6/G6-1)</f>
        <v>15.4425961078669</v>
      </c>
      <c r="AH6" s="535" t="n">
        <f aca="false">IF(ISERROR(S6/H6-1),"",S6/H6-1)</f>
        <v>-1</v>
      </c>
      <c r="AI6" s="535" t="n">
        <f aca="false">IF(ISERROR(T6/I6-1),"",T6/I6-1)</f>
        <v>-0.0355620422938192</v>
      </c>
      <c r="AJ6" s="531" t="n">
        <f aca="false">IF(ISERROR(U6/J6-1),"",U6/J6-1)</f>
        <v>5.15832597302436</v>
      </c>
    </row>
    <row collapsed="false" customFormat="false" customHeight="false" hidden="false" ht="15.65" outlineLevel="0" r="7">
      <c r="B7" s="529" t="s">
        <v>645</v>
      </c>
      <c r="C7" s="519" t="n">
        <v>932700</v>
      </c>
      <c r="D7" s="523" t="n">
        <v>176500</v>
      </c>
      <c r="E7" s="530" t="n">
        <f aca="false">SUM(C7:D7)</f>
        <v>1109200</v>
      </c>
      <c r="F7" s="531" t="n">
        <f aca="false">IF(ISERROR(E7/$E$15),"",E7/$E$15)</f>
        <v>0.0489123916095758</v>
      </c>
      <c r="G7" s="519" t="n">
        <v>1692192</v>
      </c>
      <c r="H7" s="523" t="n">
        <v>93379</v>
      </c>
      <c r="I7" s="523" t="n">
        <v>333374</v>
      </c>
      <c r="J7" s="530" t="n">
        <f aca="false">SUM(G7:I7)</f>
        <v>2118945</v>
      </c>
      <c r="K7" s="531" t="n">
        <f aca="false">IF(ISERROR(J7/$J$15),"",J7/$J$15)</f>
        <v>0.0979331365992425</v>
      </c>
      <c r="L7" s="524" t="n">
        <v>1692192</v>
      </c>
      <c r="M7" s="520" t="n">
        <v>93379</v>
      </c>
      <c r="N7" s="520" t="n">
        <v>333367</v>
      </c>
      <c r="O7" s="530" t="n">
        <f aca="false">SUM(L7:N7)</f>
        <v>2118938</v>
      </c>
      <c r="P7" s="531" t="n">
        <f aca="false">IF(ISERROR(O7/$O$15),"",O7/$O$15)</f>
        <v>0.0979540774704901</v>
      </c>
      <c r="Q7" s="532" t="n">
        <f aca="false">IF(ISERROR(O7/J7),"",O7/J7)</f>
        <v>0.999996696469233</v>
      </c>
      <c r="R7" s="524" t="n">
        <v>864590</v>
      </c>
      <c r="S7" s="520" t="n">
        <v>0</v>
      </c>
      <c r="T7" s="520" t="n">
        <v>234200</v>
      </c>
      <c r="U7" s="530" t="n">
        <f aca="false">SUM(R7:T7)</f>
        <v>1098790</v>
      </c>
      <c r="V7" s="533" t="n">
        <f aca="false">IF(ISERROR(U7/$U$15),"",U7/$U$15)</f>
        <v>0.0459866278474836</v>
      </c>
      <c r="W7" s="524" t="n">
        <v>1266897</v>
      </c>
      <c r="X7" s="520" t="n">
        <v>0</v>
      </c>
      <c r="Y7" s="520" t="n">
        <v>267955</v>
      </c>
      <c r="Z7" s="530" t="n">
        <f aca="false">SUM(W7:Y7)</f>
        <v>1534852</v>
      </c>
      <c r="AA7" s="531" t="n">
        <f aca="false">IF(ISERROR(Z7/$J$15),"",Z7/$J$15)</f>
        <v>0.0709375989351402</v>
      </c>
      <c r="AB7" s="524"/>
      <c r="AC7" s="520"/>
      <c r="AD7" s="520"/>
      <c r="AE7" s="530" t="n">
        <f aca="false">SUM(AB7:AD7)</f>
        <v>0</v>
      </c>
      <c r="AF7" s="531" t="n">
        <f aca="false">IF(ISERROR(AE7/$O$15),"",AE7/$O$15)</f>
        <v>0</v>
      </c>
      <c r="AG7" s="534" t="n">
        <f aca="false">IF(ISERROR(R7/G7-1),"",R7/G7-1)</f>
        <v>-0.489070980125187</v>
      </c>
      <c r="AH7" s="535" t="n">
        <f aca="false">IF(ISERROR(S7/H7-1),"",S7/H7-1)</f>
        <v>-1</v>
      </c>
      <c r="AI7" s="535" t="n">
        <f aca="false">IF(ISERROR(T7/I7-1),"",T7/I7-1)</f>
        <v>-0.297485706743777</v>
      </c>
      <c r="AJ7" s="531" t="n">
        <f aca="false">IF(ISERROR(U7/J7-1),"",U7/J7-1)</f>
        <v>-0.481444775584076</v>
      </c>
    </row>
    <row collapsed="false" customFormat="false" customHeight="false" hidden="false" ht="15.65" outlineLevel="0" r="8">
      <c r="B8" s="529" t="s">
        <v>646</v>
      </c>
      <c r="C8" s="519" t="n">
        <v>220950</v>
      </c>
      <c r="D8" s="523" t="n">
        <v>4800</v>
      </c>
      <c r="E8" s="530" t="n">
        <f aca="false">SUM(C8:D8)</f>
        <v>225750</v>
      </c>
      <c r="F8" s="531" t="n">
        <f aca="false">IF(ISERROR(E8/$E$15),"",E8/$E$15)</f>
        <v>0.00995489758912886</v>
      </c>
      <c r="G8" s="519" t="n">
        <v>192203</v>
      </c>
      <c r="H8" s="523" t="n">
        <v>0</v>
      </c>
      <c r="I8" s="523" t="n">
        <v>11045</v>
      </c>
      <c r="J8" s="530" t="n">
        <f aca="false">SUM(G8:I8)</f>
        <v>203248</v>
      </c>
      <c r="K8" s="531" t="n">
        <f aca="false">IF(ISERROR(J8/$J$15),"",J8/$J$15)</f>
        <v>0.00939369079778986</v>
      </c>
      <c r="L8" s="524" t="n">
        <v>192203</v>
      </c>
      <c r="M8" s="520" t="n">
        <v>0</v>
      </c>
      <c r="N8" s="520" t="n">
        <v>11045</v>
      </c>
      <c r="O8" s="530" t="n">
        <f aca="false">SUM(L8:N8)</f>
        <v>203248</v>
      </c>
      <c r="P8" s="531" t="n">
        <f aca="false">IF(ISERROR(O8/$O$15),"",O8/$O$15)</f>
        <v>0.00939573047334191</v>
      </c>
      <c r="Q8" s="532" t="n">
        <f aca="false">IF(ISERROR(O8/J8),"",O8/J8)</f>
        <v>1</v>
      </c>
      <c r="R8" s="524" t="n">
        <v>220950</v>
      </c>
      <c r="S8" s="520" t="n">
        <v>0</v>
      </c>
      <c r="T8" s="520" t="n">
        <v>5000</v>
      </c>
      <c r="U8" s="530" t="n">
        <f aca="false">SUM(R8:T8)</f>
        <v>225950</v>
      </c>
      <c r="V8" s="533" t="n">
        <f aca="false">IF(ISERROR(U8/$U$15),"",U8/$U$15)</f>
        <v>0.0094564735410214</v>
      </c>
      <c r="W8" s="524" t="n">
        <v>224196</v>
      </c>
      <c r="X8" s="520" t="n">
        <v>0</v>
      </c>
      <c r="Y8" s="520" t="n">
        <v>4635</v>
      </c>
      <c r="Z8" s="530" t="n">
        <f aca="false">SUM(W8:Y8)</f>
        <v>228831</v>
      </c>
      <c r="AA8" s="531" t="n">
        <f aca="false">IF(ISERROR(Z8/$J$15),"",Z8/$J$15)</f>
        <v>0.0105760827115103</v>
      </c>
      <c r="AB8" s="524"/>
      <c r="AC8" s="520"/>
      <c r="AD8" s="520"/>
      <c r="AE8" s="530" t="n">
        <f aca="false">SUM(AB8:AD8)</f>
        <v>0</v>
      </c>
      <c r="AF8" s="531" t="n">
        <f aca="false">IF(ISERROR(AE8/$O$15),"",AE8/$O$15)</f>
        <v>0</v>
      </c>
      <c r="AG8" s="534" t="n">
        <f aca="false">IF(ISERROR(R8/G8-1),"",R8/G8-1)</f>
        <v>0.149565823634387</v>
      </c>
      <c r="AH8" s="535" t="str">
        <f aca="false">IF(ISERROR(S8/H8-1),"",S8/H8-1)</f>
        <v/>
      </c>
      <c r="AI8" s="535" t="n">
        <f aca="false">IF(ISERROR(T8/I8-1),"",T8/I8-1)</f>
        <v>-0.547306473517429</v>
      </c>
      <c r="AJ8" s="531" t="n">
        <f aca="false">IF(ISERROR(U8/J8-1),"",U8/J8-1)</f>
        <v>0.111696056049752</v>
      </c>
    </row>
    <row collapsed="false" customFormat="false" customHeight="false" hidden="false" ht="15.65" outlineLevel="0" r="9">
      <c r="B9" s="518" t="s">
        <v>647</v>
      </c>
      <c r="C9" s="519" t="n">
        <v>250000</v>
      </c>
      <c r="D9" s="523" t="n">
        <v>22600</v>
      </c>
      <c r="E9" s="530" t="n">
        <f aca="false">SUM(C9:D9)</f>
        <v>272600</v>
      </c>
      <c r="F9" s="531" t="n">
        <f aca="false">IF(ISERROR(E9/$E$15),"",E9/$E$15)</f>
        <v>0.0120208420057432</v>
      </c>
      <c r="G9" s="519" t="n">
        <v>232802</v>
      </c>
      <c r="H9" s="523" t="n">
        <v>0</v>
      </c>
      <c r="I9" s="523" t="n">
        <v>4545</v>
      </c>
      <c r="J9" s="530" t="n">
        <f aca="false">SUM(G9:I9)</f>
        <v>237347</v>
      </c>
      <c r="K9" s="531" t="n">
        <f aca="false">IF(ISERROR(J9/$J$15),"",J9/$J$15)</f>
        <v>0.0109696741408675</v>
      </c>
      <c r="L9" s="524" t="n">
        <v>232802</v>
      </c>
      <c r="M9" s="520" t="n">
        <v>0</v>
      </c>
      <c r="N9" s="520" t="n">
        <v>4545</v>
      </c>
      <c r="O9" s="530" t="n">
        <f aca="false">SUM(L9:N9)</f>
        <v>237347</v>
      </c>
      <c r="P9" s="531" t="n">
        <f aca="false">IF(ISERROR(O9/$O$15),"",O9/$O$15)</f>
        <v>0.0109720560136202</v>
      </c>
      <c r="Q9" s="532" t="n">
        <f aca="false">IF(ISERROR(O9/J9),"",O9/J9)</f>
        <v>1</v>
      </c>
      <c r="R9" s="524" t="n">
        <v>249950</v>
      </c>
      <c r="S9" s="520" t="n">
        <v>0</v>
      </c>
      <c r="T9" s="520" t="n">
        <v>25000</v>
      </c>
      <c r="U9" s="530" t="n">
        <f aca="false">SUM(R9:T9)</f>
        <v>274950</v>
      </c>
      <c r="V9" s="533" t="n">
        <f aca="false">IF(ISERROR(U9/$U$15),"",U9/$U$15)</f>
        <v>0.0115072246076735</v>
      </c>
      <c r="W9" s="524" t="n">
        <v>249950</v>
      </c>
      <c r="X9" s="520" t="n">
        <v>0</v>
      </c>
      <c r="Y9" s="520" t="n">
        <v>21495</v>
      </c>
      <c r="Z9" s="530" t="n">
        <f aca="false">SUM(W9:Y9)</f>
        <v>271445</v>
      </c>
      <c r="AA9" s="531" t="n">
        <f aca="false">IF(ISERROR(Z9/$J$15),"",Z9/$J$15)</f>
        <v>0.0125456112660694</v>
      </c>
      <c r="AB9" s="524"/>
      <c r="AC9" s="520"/>
      <c r="AD9" s="520"/>
      <c r="AE9" s="530" t="n">
        <f aca="false">SUM(AB9:AD9)</f>
        <v>0</v>
      </c>
      <c r="AF9" s="531" t="n">
        <f aca="false">IF(ISERROR(AE9/$O$15),"",AE9/$O$15)</f>
        <v>0</v>
      </c>
      <c r="AG9" s="534" t="n">
        <f aca="false">IF(ISERROR(R9/G9-1),"",R9/G9-1)</f>
        <v>0.0736591610037713</v>
      </c>
      <c r="AH9" s="535" t="str">
        <f aca="false">IF(ISERROR(S9/H9-1),"",S9/H9-1)</f>
        <v/>
      </c>
      <c r="AI9" s="535" t="n">
        <f aca="false">IF(ISERROR(T9/I9-1),"",T9/I9-1)</f>
        <v>4.5005500550055</v>
      </c>
      <c r="AJ9" s="531" t="n">
        <f aca="false">IF(ISERROR(U9/J9-1),"",U9/J9-1)</f>
        <v>0.15843048363788</v>
      </c>
    </row>
    <row collapsed="false" customFormat="false" customHeight="false" hidden="false" ht="15.65" outlineLevel="0" r="10">
      <c r="B10" s="529" t="s">
        <v>648</v>
      </c>
      <c r="C10" s="519" t="n">
        <v>765740</v>
      </c>
      <c r="D10" s="523" t="n">
        <v>5180</v>
      </c>
      <c r="E10" s="530" t="n">
        <f aca="false">SUM(C10:D10)</f>
        <v>770920</v>
      </c>
      <c r="F10" s="531" t="n">
        <f aca="false">IF(ISERROR(E10/$E$15),"",E10/$E$15)</f>
        <v>0.0339952586906366</v>
      </c>
      <c r="G10" s="519" t="n">
        <v>764190</v>
      </c>
      <c r="H10" s="523" t="n">
        <v>0</v>
      </c>
      <c r="I10" s="523" t="n">
        <v>8404</v>
      </c>
      <c r="J10" s="530" t="n">
        <f aca="false">SUM(G10:I10)</f>
        <v>772594</v>
      </c>
      <c r="K10" s="531" t="n">
        <f aca="false">IF(ISERROR(J10/$J$15),"",J10/$J$15)</f>
        <v>0.0357076534491245</v>
      </c>
      <c r="L10" s="524" t="n">
        <v>764190</v>
      </c>
      <c r="M10" s="520" t="n">
        <v>0</v>
      </c>
      <c r="N10" s="520" t="n">
        <v>8404</v>
      </c>
      <c r="O10" s="530" t="n">
        <f aca="false">SUM(L10:N10)</f>
        <v>772594</v>
      </c>
      <c r="P10" s="531" t="n">
        <f aca="false">IF(ISERROR(O10/$O$15),"",O10/$O$15)</f>
        <v>0.0357154067411297</v>
      </c>
      <c r="Q10" s="532" t="n">
        <f aca="false">IF(ISERROR(O10/J10),"",O10/J10)</f>
        <v>1</v>
      </c>
      <c r="R10" s="524" t="n">
        <v>909255</v>
      </c>
      <c r="S10" s="520" t="n">
        <v>0</v>
      </c>
      <c r="T10" s="520" t="n">
        <v>0</v>
      </c>
      <c r="U10" s="530" t="n">
        <f aca="false">SUM(R10:T10)</f>
        <v>909255</v>
      </c>
      <c r="V10" s="533" t="n">
        <f aca="false">IF(ISERROR(U10/$U$15),"",U10/$U$15)</f>
        <v>0.0380541971654854</v>
      </c>
      <c r="W10" s="524" t="n">
        <v>909255</v>
      </c>
      <c r="X10" s="520" t="n">
        <v>0</v>
      </c>
      <c r="Y10" s="520" t="n">
        <v>0</v>
      </c>
      <c r="Z10" s="530" t="n">
        <f aca="false">SUM(W10:Y10)</f>
        <v>909255</v>
      </c>
      <c r="AA10" s="531" t="n">
        <f aca="false">IF(ISERROR(Z10/$J$15),"",Z10/$J$15)</f>
        <v>0.0420238345584922</v>
      </c>
      <c r="AB10" s="524"/>
      <c r="AC10" s="520"/>
      <c r="AD10" s="520"/>
      <c r="AE10" s="530" t="n">
        <f aca="false">SUM(AB10:AD10)</f>
        <v>0</v>
      </c>
      <c r="AF10" s="531" t="n">
        <f aca="false">IF(ISERROR(AE10/$O$15),"",AE10/$O$15)</f>
        <v>0</v>
      </c>
      <c r="AG10" s="534" t="n">
        <f aca="false">IF(ISERROR(R10/G10-1),"",R10/G10-1)</f>
        <v>0.189828445805363</v>
      </c>
      <c r="AH10" s="535" t="str">
        <f aca="false">IF(ISERROR(S10/H10-1),"",S10/H10-1)</f>
        <v/>
      </c>
      <c r="AI10" s="535" t="n">
        <f aca="false">IF(ISERROR(T10/I10-1),"",T10/I10-1)</f>
        <v>-1</v>
      </c>
      <c r="AJ10" s="531" t="n">
        <f aca="false">IF(ISERROR(U10/J10-1),"",U10/J10-1)</f>
        <v>0.176885919383272</v>
      </c>
    </row>
    <row collapsed="false" customFormat="false" customHeight="false" hidden="false" ht="15.65" outlineLevel="0" r="11">
      <c r="B11" s="529" t="s">
        <v>649</v>
      </c>
      <c r="C11" s="519" t="n">
        <v>0</v>
      </c>
      <c r="D11" s="523" t="n">
        <v>33000</v>
      </c>
      <c r="E11" s="530" t="n">
        <f aca="false">SUM(C11:D11)</f>
        <v>33000</v>
      </c>
      <c r="F11" s="531" t="n">
        <f aca="false">IF(ISERROR(E11/$E$15),"",E11/$E$15)</f>
        <v>0.00145520097648395</v>
      </c>
      <c r="G11" s="519" t="n">
        <v>0</v>
      </c>
      <c r="H11" s="520" t="n">
        <v>0</v>
      </c>
      <c r="I11" s="520" t="n">
        <v>78881</v>
      </c>
      <c r="J11" s="530" t="n">
        <f aca="false">SUM(G11:I11)</f>
        <v>78881</v>
      </c>
      <c r="K11" s="531" t="n">
        <f aca="false">IF(ISERROR(J11/$J$15),"",J11/$J$15)</f>
        <v>0.00364571225212776</v>
      </c>
      <c r="L11" s="524" t="n">
        <v>0</v>
      </c>
      <c r="M11" s="520" t="n">
        <v>0</v>
      </c>
      <c r="N11" s="520" t="n">
        <v>78881</v>
      </c>
      <c r="O11" s="530" t="n">
        <f aca="false">SUM(L11:N11)</f>
        <v>78881</v>
      </c>
      <c r="P11" s="531" t="n">
        <f aca="false">IF(ISERROR(O11/$O$15),"",O11/$O$15)</f>
        <v>0.00364650385473748</v>
      </c>
      <c r="Q11" s="532" t="n">
        <f aca="false">IF(ISERROR(O11/J11),"",O11/J11)</f>
        <v>1</v>
      </c>
      <c r="R11" s="524" t="n">
        <v>0</v>
      </c>
      <c r="S11" s="520" t="n">
        <v>0</v>
      </c>
      <c r="T11" s="520" t="n">
        <v>50000</v>
      </c>
      <c r="U11" s="530" t="n">
        <f aca="false">SUM(R11:T11)</f>
        <v>50000</v>
      </c>
      <c r="V11" s="533" t="n">
        <f aca="false">IF(ISERROR(U11/$U$15),"",U11/$U$15)</f>
        <v>0.00209260312923687</v>
      </c>
      <c r="W11" s="536" t="n">
        <v>0</v>
      </c>
      <c r="X11" s="537" t="n">
        <v>0</v>
      </c>
      <c r="Y11" s="537" t="n">
        <v>52304</v>
      </c>
      <c r="Z11" s="538" t="n">
        <f aca="false">SUM(W11:Y11)</f>
        <v>52304</v>
      </c>
      <c r="AA11" s="539" t="n">
        <f aca="false">IF(ISERROR(Z11/$J$15),"",Z11/$J$15)</f>
        <v>0.00241737976997363</v>
      </c>
      <c r="AB11" s="524"/>
      <c r="AC11" s="520"/>
      <c r="AD11" s="520"/>
      <c r="AE11" s="530" t="n">
        <f aca="false">SUM(AB11:AD11)</f>
        <v>0</v>
      </c>
      <c r="AF11" s="531" t="n">
        <f aca="false">IF(ISERROR(AE11/$O$15),"",AE11/$O$15)</f>
        <v>0</v>
      </c>
      <c r="AG11" s="534" t="str">
        <f aca="false">IF(ISERROR(R11/G11-1),"",R11/G11-1)</f>
        <v/>
      </c>
      <c r="AH11" s="535" t="str">
        <f aca="false">IF(ISERROR(S11/H11-1),"",S11/H11-1)</f>
        <v/>
      </c>
      <c r="AI11" s="535" t="n">
        <f aca="false">IF(ISERROR(T11/I11-1),"",T11/I11-1)</f>
        <v>-0.366133796478239</v>
      </c>
      <c r="AJ11" s="531" t="n">
        <f aca="false">IF(ISERROR(U11/J11-1),"",U11/J11-1)</f>
        <v>-0.366133796478239</v>
      </c>
    </row>
    <row collapsed="false" customFormat="false" customHeight="false" hidden="false" ht="15.65" outlineLevel="0" r="12">
      <c r="B12" s="529" t="s">
        <v>650</v>
      </c>
      <c r="C12" s="536" t="n">
        <v>0</v>
      </c>
      <c r="D12" s="537" t="n">
        <v>0</v>
      </c>
      <c r="E12" s="530" t="n">
        <f aca="false">SUM(C12:D12)</f>
        <v>0</v>
      </c>
      <c r="F12" s="531" t="n">
        <f aca="false">IF(ISERROR(E12/$E$15),"",E12/$E$15)</f>
        <v>0</v>
      </c>
      <c r="G12" s="536" t="n">
        <v>0</v>
      </c>
      <c r="H12" s="520" t="n">
        <v>0</v>
      </c>
      <c r="I12" s="520" t="n">
        <v>41229</v>
      </c>
      <c r="J12" s="530" t="n">
        <f aca="false">SUM(G12:I12)</f>
        <v>41229</v>
      </c>
      <c r="K12" s="531" t="n">
        <f aca="false">IF(ISERROR(J12/$J$15),"",J12/$J$15)</f>
        <v>0.00190551679673147</v>
      </c>
      <c r="L12" s="536" t="n">
        <v>0</v>
      </c>
      <c r="M12" s="537" t="n">
        <v>0</v>
      </c>
      <c r="N12" s="520" t="n">
        <v>41228</v>
      </c>
      <c r="O12" s="530" t="n">
        <f aca="false">SUM(L12:N12)</f>
        <v>41228</v>
      </c>
      <c r="P12" s="531" t="n">
        <f aca="false">IF(ISERROR(O12/$O$15),"",O12/$O$15)</f>
        <v>0.00190588431844318</v>
      </c>
      <c r="Q12" s="532" t="n">
        <f aca="false">IF(ISERROR(O12/J12),"",O12/J12)</f>
        <v>0.999975745227874</v>
      </c>
      <c r="R12" s="536" t="n">
        <v>0</v>
      </c>
      <c r="S12" s="537" t="n">
        <v>0</v>
      </c>
      <c r="T12" s="520" t="n">
        <v>10000</v>
      </c>
      <c r="U12" s="530" t="n">
        <f aca="false">SUM(R12:T12)</f>
        <v>10000</v>
      </c>
      <c r="V12" s="533" t="n">
        <f aca="false">IF(ISERROR(U12/$U$15),"",U12/$U$15)</f>
        <v>0.000418520625847374</v>
      </c>
      <c r="W12" s="536" t="n">
        <v>0</v>
      </c>
      <c r="X12" s="537" t="n">
        <v>0</v>
      </c>
      <c r="Y12" s="537" t="n">
        <v>10403</v>
      </c>
      <c r="Z12" s="538" t="n">
        <f aca="false">SUM(W12:Y12)</f>
        <v>10403</v>
      </c>
      <c r="AA12" s="539" t="n">
        <f aca="false">IF(ISERROR(Z12/$J$15),"",Z12/$J$15)</f>
        <v>0.000480804560779973</v>
      </c>
      <c r="AB12" s="524"/>
      <c r="AC12" s="520"/>
      <c r="AD12" s="520"/>
      <c r="AE12" s="530" t="n">
        <f aca="false">SUM(AB12:AD12)</f>
        <v>0</v>
      </c>
      <c r="AF12" s="531" t="n">
        <f aca="false">IF(ISERROR(AE12/$O$15),"",AE12/$O$15)</f>
        <v>0</v>
      </c>
      <c r="AG12" s="534" t="str">
        <f aca="false">IF(ISERROR(R12/G12-1),"",R12/G12-1)</f>
        <v/>
      </c>
      <c r="AH12" s="535" t="str">
        <f aca="false">IF(ISERROR(S12/H12-1),"",S12/H12-1)</f>
        <v/>
      </c>
      <c r="AI12" s="535" t="n">
        <f aca="false">IF(ISERROR(T12/I12-1),"",T12/I12-1)</f>
        <v>-0.757452278735841</v>
      </c>
      <c r="AJ12" s="531" t="n">
        <f aca="false">IF(ISERROR(U12/J12-1),"",U12/J12-1)</f>
        <v>-0.757452278735841</v>
      </c>
    </row>
    <row collapsed="false" customFormat="false" customHeight="false" hidden="false" ht="15.65" outlineLevel="0" r="13">
      <c r="B13" s="529" t="s">
        <v>651</v>
      </c>
      <c r="C13" s="536" t="n">
        <v>240000</v>
      </c>
      <c r="D13" s="537" t="n">
        <v>43300</v>
      </c>
      <c r="E13" s="530" t="n">
        <f aca="false">SUM(C13:D13)</f>
        <v>283300</v>
      </c>
      <c r="F13" s="531" t="n">
        <f aca="false">IF(ISERROR(E13/$E$15),"",E13/$E$15)</f>
        <v>0.0124926798981183</v>
      </c>
      <c r="G13" s="536" t="n">
        <v>279003</v>
      </c>
      <c r="H13" s="520" t="n">
        <v>0</v>
      </c>
      <c r="I13" s="520" t="n">
        <v>20125</v>
      </c>
      <c r="J13" s="530" t="n">
        <f aca="false">SUM(G13:I13)</f>
        <v>299128</v>
      </c>
      <c r="K13" s="531" t="n">
        <f aca="false">IF(ISERROR(J13/$J$15),"",J13/$J$15)</f>
        <v>0.0138250607187342</v>
      </c>
      <c r="L13" s="536" t="n">
        <v>279003</v>
      </c>
      <c r="M13" s="537" t="n">
        <v>0</v>
      </c>
      <c r="N13" s="520" t="n">
        <v>20125</v>
      </c>
      <c r="O13" s="530" t="n">
        <f aca="false">SUM(L13:N13)</f>
        <v>299128</v>
      </c>
      <c r="P13" s="531" t="n">
        <f aca="false">IF(ISERROR(O13/$O$15),"",O13/$O$15)</f>
        <v>0.0138280625887085</v>
      </c>
      <c r="Q13" s="532" t="n">
        <f aca="false">IF(ISERROR(O13/J13),"",O13/J13)</f>
        <v>1</v>
      </c>
      <c r="R13" s="536" t="n">
        <v>240000</v>
      </c>
      <c r="S13" s="537" t="n">
        <v>0</v>
      </c>
      <c r="T13" s="520" t="n">
        <v>40000</v>
      </c>
      <c r="U13" s="530" t="n">
        <f aca="false">SUM(R13:T13)</f>
        <v>280000</v>
      </c>
      <c r="V13" s="533" t="n">
        <f aca="false">IF(ISERROR(U13/$U$15),"",U13/$U$15)</f>
        <v>0.0117185775237265</v>
      </c>
      <c r="W13" s="536" t="n">
        <v>240000</v>
      </c>
      <c r="X13" s="537" t="n">
        <v>0</v>
      </c>
      <c r="Y13" s="537" t="n">
        <v>41890</v>
      </c>
      <c r="Z13" s="538" t="n">
        <f aca="false">SUM(W13:Y13)</f>
        <v>281890</v>
      </c>
      <c r="AA13" s="539" t="n">
        <f aca="false">IF(ISERROR(Z13/$J$15),"",Z13/$J$15)</f>
        <v>0.0130283569776282</v>
      </c>
      <c r="AB13" s="524"/>
      <c r="AC13" s="520"/>
      <c r="AD13" s="520"/>
      <c r="AE13" s="530" t="n">
        <f aca="false">SUM(AB13:AD13)</f>
        <v>0</v>
      </c>
      <c r="AF13" s="531" t="n">
        <f aca="false">IF(ISERROR(AE13/$O$15),"",AE13/$O$15)</f>
        <v>0</v>
      </c>
      <c r="AG13" s="534" t="n">
        <f aca="false">IF(ISERROR(R13/G13-1),"",R13/G13-1)</f>
        <v>-0.139794195761336</v>
      </c>
      <c r="AH13" s="535" t="str">
        <f aca="false">IF(ISERROR(S13/H13-1),"",S13/H13-1)</f>
        <v/>
      </c>
      <c r="AI13" s="535" t="n">
        <f aca="false">IF(ISERROR(T13/I13-1),"",T13/I13-1)</f>
        <v>0.987577639751553</v>
      </c>
      <c r="AJ13" s="531" t="n">
        <f aca="false">IF(ISERROR(U13/J13-1),"",U13/J13-1)</f>
        <v>-0.0639458693268433</v>
      </c>
    </row>
    <row collapsed="false" customFormat="false" customHeight="false" hidden="false" ht="15.65" outlineLevel="0" r="14">
      <c r="B14" s="540" t="s">
        <v>500</v>
      </c>
      <c r="C14" s="541" t="n">
        <v>1442520</v>
      </c>
      <c r="D14" s="542" t="n">
        <v>710620</v>
      </c>
      <c r="E14" s="543" t="n">
        <f aca="false">SUM(C14:D14)</f>
        <v>2153140</v>
      </c>
      <c r="F14" s="544" t="n">
        <f aca="false">IF(ISERROR(E14/$E$15),"",E14/$E$15)</f>
        <v>0.0949470130456563</v>
      </c>
      <c r="G14" s="541" t="n">
        <v>1534386</v>
      </c>
      <c r="H14" s="542" t="n">
        <v>13327</v>
      </c>
      <c r="I14" s="542" t="n">
        <v>621157</v>
      </c>
      <c r="J14" s="543" t="n">
        <f aca="false">SUM(G14:I14)</f>
        <v>2168870</v>
      </c>
      <c r="K14" s="544" t="n">
        <f aca="false">IF(ISERROR(J14/$J$15),"",J14/$J$15)</f>
        <v>0.100240564042955</v>
      </c>
      <c r="L14" s="545" t="n">
        <v>1534386</v>
      </c>
      <c r="M14" s="546" t="n">
        <v>13327</v>
      </c>
      <c r="N14" s="546" t="n">
        <v>621156</v>
      </c>
      <c r="O14" s="543" t="n">
        <f aca="false">SUM(L14:N14)</f>
        <v>2168869</v>
      </c>
      <c r="P14" s="544" t="n">
        <f aca="false">IF(ISERROR(O14/$O$15),"",O14/$O$15)</f>
        <v>0.100262283299155</v>
      </c>
      <c r="Q14" s="547" t="n">
        <f aca="false">IF(ISERROR(O14/J14),"",O14/J14)</f>
        <v>0.999999538930411</v>
      </c>
      <c r="R14" s="545" t="n">
        <v>1454705</v>
      </c>
      <c r="S14" s="546" t="n">
        <v>0</v>
      </c>
      <c r="T14" s="546" t="n">
        <v>733800</v>
      </c>
      <c r="U14" s="543" t="n">
        <f aca="false">SUM(R14:T14)</f>
        <v>2188505</v>
      </c>
      <c r="V14" s="548" t="n">
        <f aca="false">IF(ISERROR(U14/$U$15),"",U14/$U$15)</f>
        <v>0.0915934482270106</v>
      </c>
      <c r="W14" s="545" t="n">
        <v>1127747</v>
      </c>
      <c r="X14" s="546" t="n">
        <v>0</v>
      </c>
      <c r="Y14" s="546" t="n">
        <v>714782</v>
      </c>
      <c r="Z14" s="543" t="n">
        <f aca="false">SUM(W14:Y14)</f>
        <v>1842529</v>
      </c>
      <c r="AA14" s="544" t="n">
        <f aca="false">IF(ISERROR(Z14/$J$15),"",Z14/$J$15)</f>
        <v>0.0851577762731292</v>
      </c>
      <c r="AB14" s="545"/>
      <c r="AC14" s="546"/>
      <c r="AD14" s="546"/>
      <c r="AE14" s="543" t="n">
        <f aca="false">SUM(AB14:AD14)</f>
        <v>0</v>
      </c>
      <c r="AF14" s="544" t="n">
        <f aca="false">IF(ISERROR(AE14/$O$15),"",AE14/$O$15)</f>
        <v>0</v>
      </c>
      <c r="AG14" s="549" t="n">
        <f aca="false">IF(ISERROR(R14/G14-1),"",R14/G14-1)</f>
        <v>-0.0519302183414082</v>
      </c>
      <c r="AH14" s="550" t="n">
        <f aca="false">IF(ISERROR(S14/H14-1),"",S14/H14-1)</f>
        <v>-1</v>
      </c>
      <c r="AI14" s="550" t="n">
        <f aca="false">IF(ISERROR(T14/I14-1),"",T14/I14-1)</f>
        <v>0.181343847046721</v>
      </c>
      <c r="AJ14" s="544" t="n">
        <f aca="false">IF(ISERROR(U14/J14-1),"",U14/J14-1)</f>
        <v>0.00905310138459203</v>
      </c>
    </row>
    <row collapsed="false" customFormat="false" customHeight="false" hidden="false" ht="12.8" outlineLevel="0" r="15">
      <c r="B15" s="551" t="s">
        <v>652</v>
      </c>
      <c r="C15" s="552" t="n">
        <f aca="false">SUM(C5:C14)</f>
        <v>21547280</v>
      </c>
      <c r="D15" s="553" t="n">
        <f aca="false">SUM(D5:D14)</f>
        <v>1130000</v>
      </c>
      <c r="E15" s="553" t="n">
        <f aca="false">SUM(E5:E14)</f>
        <v>22677280</v>
      </c>
      <c r="F15" s="554" t="inlineStr">
        <f aca="false">SUM(F5:F14)</f>
        <is>
          <t/>
        </is>
      </c>
      <c r="G15" s="552" t="n">
        <f aca="false">SUM(G5:G14)</f>
        <v>20156333</v>
      </c>
      <c r="H15" s="553" t="n">
        <f aca="false">SUM(H5:H14)</f>
        <v>206026</v>
      </c>
      <c r="I15" s="553" t="n">
        <f aca="false">SUM(I5:I14)</f>
        <v>1274291</v>
      </c>
      <c r="J15" s="553" t="n">
        <f aca="false">SUM(J5:J14)</f>
        <v>21636650</v>
      </c>
      <c r="K15" s="554" t="inlineStr">
        <f aca="false">SUM(K5:K14)</f>
        <is>
          <t/>
        </is>
      </c>
      <c r="L15" s="552" t="n">
        <f aca="false">SUM(L5:L14)</f>
        <v>20151645</v>
      </c>
      <c r="M15" s="553" t="n">
        <f aca="false">SUM(M5:M14)</f>
        <v>206026</v>
      </c>
      <c r="N15" s="553" t="n">
        <f aca="false">SUM(N5:N14)</f>
        <v>1274282</v>
      </c>
      <c r="O15" s="553" t="n">
        <f aca="false">SUM(O5:O14)</f>
        <v>21631953</v>
      </c>
      <c r="P15" s="554" t="inlineStr">
        <f aca="false">SUM(P5:P14)</f>
        <is>
          <t/>
        </is>
      </c>
      <c r="Q15" s="555" t="n">
        <f aca="false">IF(ISERROR(O15/J15),"",O15/J15)</f>
        <v>0.999782914637894</v>
      </c>
      <c r="R15" s="552" t="n">
        <f aca="false">SUM(R5:R14)</f>
        <v>22645685</v>
      </c>
      <c r="S15" s="556"/>
      <c r="T15" s="553" t="n">
        <f aca="false">SUM(T5:T14)</f>
        <v>1248000</v>
      </c>
      <c r="U15" s="553" t="n">
        <f aca="false">SUM(U5:U14)</f>
        <v>23893685</v>
      </c>
      <c r="V15" s="557" t="inlineStr">
        <f aca="false">SUM(V5:V14)</f>
        <is>
          <t/>
        </is>
      </c>
      <c r="W15" s="552" t="n">
        <f aca="false">SUM(W5:W14)</f>
        <v>22810299.5</v>
      </c>
      <c r="X15" s="553" t="n">
        <f aca="false">SUM(X5:X14)</f>
        <v>0</v>
      </c>
      <c r="Y15" s="553" t="n">
        <f aca="false">SUM(Y5:Y14)</f>
        <v>1247999</v>
      </c>
      <c r="Z15" s="553" t="n">
        <f aca="false">SUM(Z5:Z14)</f>
        <v>24058298.5</v>
      </c>
      <c r="AA15" s="554" t="inlineStr">
        <f aca="false">SUM(AA5:AA14)</f>
        <is>
          <t/>
        </is>
      </c>
      <c r="AB15" s="552" t="n">
        <f aca="false">SUM(AB5:AB14)</f>
        <v>0</v>
      </c>
      <c r="AC15" s="553" t="n">
        <f aca="false">SUM(AC5:AC14)</f>
        <v>0</v>
      </c>
      <c r="AD15" s="553" t="n">
        <f aca="false">SUM(AD5:AD14)</f>
        <v>0</v>
      </c>
      <c r="AE15" s="553" t="n">
        <f aca="false">SUM(AE5:AE14)</f>
        <v>0</v>
      </c>
      <c r="AF15" s="554" t="inlineStr">
        <f aca="false">SUM(AF5:AF14)</f>
        <is>
          <t/>
        </is>
      </c>
      <c r="AG15" s="558" t="n">
        <f aca="false">IF(ISERROR(R15/G15-1),"",R15/G15-1)</f>
        <v>0.123502226322615</v>
      </c>
      <c r="AH15" s="559" t="n">
        <f aca="false">IF(ISERROR(S15/H15-1),"",S15/H15-1)</f>
        <v>-1</v>
      </c>
      <c r="AI15" s="560" t="n">
        <f aca="false">IF(ISERROR(T15/I15-1),"",T15/I15-1)</f>
        <v>-0.0206318650920394</v>
      </c>
      <c r="AJ15" s="554" t="n">
        <f aca="false">IF(ISERROR(U15/J15-1),"",U15/J15-1)</f>
        <v>0.104315363052968</v>
      </c>
    </row>
  </sheetData>
  <mergeCells count="8">
    <mergeCell ref="C3:F3"/>
    <mergeCell ref="G3:K3"/>
    <mergeCell ref="L3:P3"/>
    <mergeCell ref="Q3:Q4"/>
    <mergeCell ref="R3:V3"/>
    <mergeCell ref="W3:AA3"/>
    <mergeCell ref="AB3:AF3"/>
    <mergeCell ref="AG3:AJ3"/>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sheetPr filterMode="false">
    <pageSetUpPr fitToPage="false"/>
  </sheetPr>
  <dimension ref="B1:E4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D10" activeCellId="0" pane="topLeft" sqref="D10"/>
    </sheetView>
  </sheetViews>
  <cols>
    <col collapsed="false" hidden="false" max="1" min="1" style="561" width="3.5843137254902"/>
    <col collapsed="false" hidden="false" max="2" min="2" style="561" width="73.0156862745098"/>
    <col collapsed="false" hidden="false" max="3" min="3" style="561" width="14.6274509803922"/>
    <col collapsed="false" hidden="false" max="4" min="4" style="561" width="11.4745098039216"/>
    <col collapsed="false" hidden="false" max="5" min="5" style="561" width="13.9098039215686"/>
    <col collapsed="false" hidden="false" max="257" min="6" style="561" width="11.4745098039216"/>
  </cols>
  <sheetData>
    <row collapsed="false" customFormat="false" customHeight="false" hidden="false" ht="15.2" outlineLevel="0" r="1">
      <c r="B1" s="562" t="s">
        <v>653</v>
      </c>
      <c r="C1" s="562"/>
      <c r="D1" s="562"/>
    </row>
    <row collapsed="false" customFormat="false" customHeight="false" hidden="false" ht="28.35" outlineLevel="0" r="3">
      <c r="B3" s="563" t="s">
        <v>654</v>
      </c>
      <c r="C3" s="564" t="n">
        <v>2009</v>
      </c>
      <c r="D3" s="564" t="n">
        <v>2010</v>
      </c>
      <c r="E3" s="565" t="s">
        <v>655</v>
      </c>
    </row>
    <row collapsed="false" customFormat="false" customHeight="false" hidden="false" ht="14.9" outlineLevel="0" r="4">
      <c r="B4" s="566" t="s">
        <v>656</v>
      </c>
      <c r="C4" s="567"/>
      <c r="D4" s="567"/>
      <c r="E4" s="568" t="str">
        <f aca="false">IF(ISERROR(D4/C4-1),"",D4/C4-1)</f>
        <v/>
      </c>
    </row>
    <row collapsed="false" customFormat="false" customHeight="false" hidden="false" ht="14.9" outlineLevel="0" r="5">
      <c r="B5" s="569" t="str">
        <f aca="false">5_Produccion_Desagregada_09_10!C10</f>
        <v>Pediatria General</v>
      </c>
      <c r="C5" s="570" t="s">
        <v>350</v>
      </c>
      <c r="D5" s="570" t="s">
        <v>350</v>
      </c>
      <c r="E5" s="571" t="str">
        <f aca="false">IF(ISERROR(D5/C5-1),"",D5/C5-1)</f>
        <v/>
      </c>
    </row>
    <row collapsed="false" customFormat="false" customHeight="false" hidden="false" ht="14.9" outlineLevel="0" r="6">
      <c r="B6" s="569" t="str">
        <f aca="false">5_Produccion_Desagregada_09_10!C11</f>
        <v>Cirugia Pediátrica General</v>
      </c>
      <c r="C6" s="570" t="n">
        <v>75</v>
      </c>
      <c r="D6" s="570" t="n">
        <v>48</v>
      </c>
      <c r="E6" s="571" t="n">
        <f aca="false">IF(ISERROR(D6/C6-1),"",D6/C6-1)</f>
        <v>-0.36</v>
      </c>
    </row>
    <row collapsed="false" customFormat="false" customHeight="false" hidden="false" ht="14.9" outlineLevel="0" r="7">
      <c r="B7" s="569" t="str">
        <f aca="false">5_Produccion_Desagregada_09_10!C13</f>
        <v>Neonatología</v>
      </c>
      <c r="C7" s="570" t="s">
        <v>350</v>
      </c>
      <c r="D7" s="570" t="s">
        <v>350</v>
      </c>
      <c r="E7" s="571" t="str">
        <f aca="false">IF(ISERROR(D7/C7-1),"",D7/C7-1)</f>
        <v/>
      </c>
    </row>
    <row collapsed="false" customFormat="false" customHeight="false" hidden="false" ht="14.9" outlineLevel="0" r="8">
      <c r="B8" s="569" t="str">
        <f aca="false">5_Produccion_Desagregada_09_10!C14</f>
        <v>Pediatria especializada</v>
      </c>
      <c r="C8" s="570" t="n">
        <v>75</v>
      </c>
      <c r="D8" s="570" t="n">
        <v>60</v>
      </c>
      <c r="E8" s="571" t="n">
        <f aca="false">IF(ISERROR(D8/C8-1),"",D8/C8-1)</f>
        <v>-0.2</v>
      </c>
    </row>
    <row collapsed="false" customFormat="false" customHeight="false" hidden="false" ht="14.9" outlineLevel="0" r="9">
      <c r="B9" s="569" t="str">
        <f aca="false">5_Produccion_Desagregada_09_10!C15</f>
        <v>Cirugia Pediátrica Especilaizada</v>
      </c>
      <c r="C9" s="570" t="n">
        <v>75</v>
      </c>
      <c r="D9" s="570" t="n">
        <v>48</v>
      </c>
      <c r="E9" s="571" t="n">
        <f aca="false">IF(ISERROR(D9/C9-1),"",D9/C9-1)</f>
        <v>-0.36</v>
      </c>
    </row>
    <row collapsed="false" customFormat="false" customHeight="false" hidden="false" ht="14.9" outlineLevel="0" r="10">
      <c r="B10" s="566" t="s">
        <v>657</v>
      </c>
      <c r="C10" s="570" t="s">
        <v>597</v>
      </c>
      <c r="D10" s="570" t="s">
        <v>597</v>
      </c>
      <c r="E10" s="571" t="str">
        <f aca="false">IF(ISERROR(D10/C10-1),"",D10/C10-1)</f>
        <v/>
      </c>
    </row>
    <row collapsed="false" customFormat="false" customHeight="false" hidden="false" ht="14.9" outlineLevel="0" r="11">
      <c r="B11" s="569" t="s">
        <v>658</v>
      </c>
      <c r="C11" s="570" t="n">
        <f aca="false">3360+2735+849</f>
        <v>6944</v>
      </c>
      <c r="D11" s="570" t="n">
        <f aca="false">4813+2240+1008</f>
        <v>8061</v>
      </c>
      <c r="E11" s="571" t="n">
        <f aca="false">IF(ISERROR(D11/C11-1),"",D11/C11-1)</f>
        <v>0.160858294930876</v>
      </c>
    </row>
    <row collapsed="false" customFormat="false" customHeight="false" hidden="false" ht="14.9" outlineLevel="0" r="12">
      <c r="B12" s="569" t="s">
        <v>659</v>
      </c>
      <c r="C12" s="570" t="n">
        <v>849</v>
      </c>
      <c r="D12" s="570" t="n">
        <f aca="false">449+168+113+41+23+22+22+13+12+11+134</f>
        <v>1008</v>
      </c>
      <c r="E12" s="571" t="n">
        <f aca="false">IF(ISERROR(D12/C12-1),"",D12/C12-1)</f>
        <v>0.187279151943463</v>
      </c>
    </row>
    <row collapsed="false" customFormat="false" customHeight="false" hidden="false" ht="14.9" outlineLevel="0" r="13">
      <c r="B13" s="569" t="s">
        <v>660</v>
      </c>
      <c r="C13" s="572" t="n">
        <f aca="false">IF(ISERROR(C12/C11),"",C12/C11)</f>
        <v>0.122263824884793</v>
      </c>
      <c r="D13" s="572" t="n">
        <f aca="false">IF(ISERROR(D12/D11),"",D12/D11)</f>
        <v>0.125046520282843</v>
      </c>
      <c r="E13" s="571" t="n">
        <f aca="false">IF(ISERROR(D13/C13-1),"",D13/C13-1)</f>
        <v>0.0227597607115007</v>
      </c>
    </row>
    <row collapsed="false" customFormat="false" customHeight="false" hidden="false" ht="14.9" outlineLevel="0" r="14">
      <c r="B14" s="566" t="s">
        <v>661</v>
      </c>
      <c r="C14" s="573" t="n">
        <v>637</v>
      </c>
      <c r="D14" s="573" t="n">
        <v>358</v>
      </c>
      <c r="E14" s="571" t="n">
        <f aca="false">IF(ISERROR(D14/C14-1),"",D14/C14-1)</f>
        <v>-0.437990580847724</v>
      </c>
    </row>
    <row collapsed="false" customFormat="false" customHeight="false" hidden="false" ht="14.9" outlineLevel="0" r="15">
      <c r="B15" s="569" t="s">
        <v>662</v>
      </c>
      <c r="C15" s="572" t="n">
        <f aca="false">IF(ISERROR(C14/4_Comportamiento_Produccion!J15),"",C14/4_Comportamiento_Produccion!J15)</f>
        <v>0.0438403303509979</v>
      </c>
      <c r="D15" s="572" t="n">
        <f aca="false">IF(ISERROR(D14/4_Comportamiento_Produccion!K15),"",D14/4_Comportamiento_Produccion!K15)</f>
        <v>0.0251280971432582</v>
      </c>
      <c r="E15" s="571" t="n">
        <f aca="false">IF(ISERROR(D15/C15-1),"",D15/C15-1)</f>
        <v>-0.426826920735413</v>
      </c>
    </row>
    <row collapsed="false" customFormat="false" customHeight="false" hidden="false" ht="14.9" outlineLevel="0" r="16">
      <c r="B16" s="566" t="s">
        <v>663</v>
      </c>
      <c r="C16" s="573" t="n">
        <v>208</v>
      </c>
      <c r="D16" s="573" t="n">
        <v>116</v>
      </c>
      <c r="E16" s="571" t="n">
        <f aca="false">IF(ISERROR(D16/C16-1),"",D16/C16-1)</f>
        <v>-0.442307692307692</v>
      </c>
    </row>
    <row collapsed="false" customFormat="false" customHeight="false" hidden="false" ht="14.9" outlineLevel="0" r="17">
      <c r="B17" s="569" t="s">
        <v>664</v>
      </c>
      <c r="C17" s="574" t="n">
        <f aca="false">IF(ISERROR(C16/5_Produccion_Desagregada_09_10!D16),"",C16/5_Produccion_Desagregada_09_10!D16)</f>
        <v>0.00950726757473261</v>
      </c>
      <c r="D17" s="574" t="n">
        <f aca="false">IF(ISERROR(D16/5_Produccion_Desagregada_09_10!F16),"",D16/5_Produccion_Desagregada_09_10!F16)</f>
        <v>0.0049853876568678</v>
      </c>
      <c r="E17" s="571" t="n">
        <f aca="false">IF(ISERROR(D17/C17-1),"",D17/C17-1)</f>
        <v>-0.475623504053107</v>
      </c>
    </row>
    <row collapsed="false" customFormat="false" customHeight="false" hidden="false" ht="14.9" outlineLevel="0" r="18">
      <c r="B18" s="569" t="s">
        <v>665</v>
      </c>
      <c r="C18" s="573" t="n">
        <v>399</v>
      </c>
      <c r="D18" s="573" t="n">
        <v>406</v>
      </c>
      <c r="E18" s="571" t="n">
        <f aca="false">IF(ISERROR(D18/C18-1),"",D18/C18-1)</f>
        <v>0.0175438596491229</v>
      </c>
    </row>
    <row collapsed="false" customFormat="false" customHeight="false" hidden="false" ht="14.9" outlineLevel="0" r="19">
      <c r="B19" s="569" t="s">
        <v>666</v>
      </c>
      <c r="C19" s="574" t="n">
        <f aca="false">IF(ISERROR(C18/4_Comportamiento_Produccion!J15),"",C18/4_Comportamiento_Produccion!J15)</f>
        <v>0.0274604267033723</v>
      </c>
      <c r="D19" s="574" t="n">
        <f aca="false">IF(ISERROR(D18/4_Comportamiento_Produccion!K15),"",D18/4_Comportamiento_Produccion!K15)</f>
        <v>0.0284972274864884</v>
      </c>
      <c r="E19" s="571" t="n">
        <f aca="false">IF(ISERROR(D19/C19-1),"",D19/C19-1)</f>
        <v>0.0377561788939254</v>
      </c>
    </row>
    <row collapsed="false" customFormat="false" customHeight="false" hidden="false" ht="14.9" outlineLevel="0" r="20">
      <c r="B20" s="566" t="s">
        <v>667</v>
      </c>
      <c r="C20" s="575"/>
      <c r="D20" s="575"/>
      <c r="E20" s="571" t="str">
        <f aca="false">IF(ISERROR(D20/C20-1),"",D20/C20-1)</f>
        <v/>
      </c>
    </row>
    <row collapsed="false" customFormat="false" customHeight="false" hidden="false" ht="14.9" outlineLevel="0" r="21">
      <c r="B21" s="569" t="s">
        <v>668</v>
      </c>
      <c r="C21" s="573" t="n">
        <v>26</v>
      </c>
      <c r="D21" s="573" t="n">
        <v>987</v>
      </c>
      <c r="E21" s="571" t="n">
        <f aca="false">IF(ISERROR(D21/C21-1),"",D21/C21-1)</f>
        <v>36.9615384615385</v>
      </c>
    </row>
    <row collapsed="false" customFormat="false" customHeight="false" hidden="false" ht="14.9" outlineLevel="0" r="22">
      <c r="B22" s="569" t="s">
        <v>669</v>
      </c>
      <c r="C22" s="573" t="s">
        <v>350</v>
      </c>
      <c r="D22" s="573" t="s">
        <v>350</v>
      </c>
      <c r="E22" s="571" t="str">
        <f aca="false">IF(ISERROR(D22/C22-1),"",D22/C22-1)</f>
        <v/>
      </c>
    </row>
    <row collapsed="false" customFormat="false" customHeight="false" hidden="false" ht="14.9" outlineLevel="0" r="23">
      <c r="B23" s="569" t="s">
        <v>670</v>
      </c>
      <c r="C23" s="573" t="s">
        <v>597</v>
      </c>
      <c r="D23" s="573" t="s">
        <v>597</v>
      </c>
      <c r="E23" s="571" t="str">
        <f aca="false">IF(ISERROR(D23/C23-1),"",D23/C23-1)</f>
        <v/>
      </c>
    </row>
    <row collapsed="false" customFormat="false" customHeight="false" hidden="false" ht="14.9" outlineLevel="0" r="24">
      <c r="B24" s="569" t="s">
        <v>671</v>
      </c>
      <c r="C24" s="573" t="s">
        <v>597</v>
      </c>
      <c r="D24" s="573" t="s">
        <v>597</v>
      </c>
      <c r="E24" s="571" t="str">
        <f aca="false">IF(ISERROR(D24/C24-1),"",D24/C24-1)</f>
        <v/>
      </c>
    </row>
    <row collapsed="false" customFormat="false" customHeight="false" hidden="false" ht="14.9" outlineLevel="0" r="25">
      <c r="B25" s="566" t="s">
        <v>672</v>
      </c>
      <c r="C25" s="575"/>
      <c r="D25" s="575"/>
      <c r="E25" s="576" t="str">
        <f aca="false">IF(ISERROR(D25/C25-1),"",D25/C25-1)</f>
        <v/>
      </c>
    </row>
    <row collapsed="false" customFormat="false" customHeight="false" hidden="false" ht="14.9" outlineLevel="0" r="26">
      <c r="B26" s="569" t="s">
        <v>673</v>
      </c>
      <c r="C26" s="573" t="n">
        <v>2772</v>
      </c>
      <c r="D26" s="573" t="n">
        <v>497</v>
      </c>
      <c r="E26" s="571" t="n">
        <f aca="false">IF(ISERROR(D26/C26-1),"",D26/C26-1)</f>
        <v>-0.820707070707071</v>
      </c>
    </row>
    <row collapsed="false" customFormat="false" customHeight="false" hidden="false" ht="14.9" outlineLevel="0" r="27">
      <c r="B27" s="569" t="s">
        <v>674</v>
      </c>
      <c r="C27" s="573" t="s">
        <v>350</v>
      </c>
      <c r="D27" s="573" t="s">
        <v>350</v>
      </c>
      <c r="E27" s="571" t="str">
        <f aca="false">IF(ISERROR(D27/C27-1),"",D27/C27-1)</f>
        <v/>
      </c>
    </row>
    <row collapsed="false" customFormat="false" customHeight="false" hidden="false" ht="14.9" outlineLevel="0" r="28">
      <c r="B28" s="569" t="s">
        <v>675</v>
      </c>
      <c r="C28" s="573" t="s">
        <v>597</v>
      </c>
      <c r="D28" s="573" t="s">
        <v>597</v>
      </c>
      <c r="E28" s="571" t="str">
        <f aca="false">IF(ISERROR(D28/C28-1),"",D28/C28-1)</f>
        <v/>
      </c>
    </row>
    <row collapsed="false" customFormat="false" customHeight="false" hidden="false" ht="14.9" outlineLevel="0" r="29">
      <c r="B29" s="569" t="s">
        <v>676</v>
      </c>
      <c r="C29" s="573" t="s">
        <v>597</v>
      </c>
      <c r="D29" s="573" t="s">
        <v>597</v>
      </c>
      <c r="E29" s="571" t="str">
        <f aca="false">IF(ISERROR(D29/C29-1),"",D29/C29-1)</f>
        <v/>
      </c>
    </row>
    <row collapsed="false" customFormat="false" customHeight="false" hidden="false" ht="14.9" outlineLevel="0" r="30">
      <c r="B30" s="566" t="s">
        <v>677</v>
      </c>
      <c r="C30" s="577" t="n">
        <v>0.65</v>
      </c>
      <c r="D30" s="577" t="n">
        <v>0.65</v>
      </c>
      <c r="E30" s="571" t="n">
        <f aca="false">IF(ISERROR(D30/C30-1),"",D30/C30-1)</f>
        <v>0</v>
      </c>
    </row>
    <row collapsed="false" customFormat="false" customHeight="false" hidden="false" ht="14.9" outlineLevel="0" r="31">
      <c r="B31" s="566" t="s">
        <v>678</v>
      </c>
      <c r="C31" s="567"/>
      <c r="D31" s="567"/>
      <c r="E31" s="568" t="str">
        <f aca="false">IF(ISERROR(D31/C31-1),"",D31/C31-1)</f>
        <v/>
      </c>
    </row>
    <row collapsed="false" customFormat="false" customHeight="false" hidden="false" ht="14.9" outlineLevel="0" r="32">
      <c r="B32" s="578" t="s">
        <v>636</v>
      </c>
      <c r="C32" s="567"/>
      <c r="D32" s="567"/>
      <c r="E32" s="568" t="str">
        <f aca="false">IF(ISERROR(D32/C32-1),"",D32/C32-1)</f>
        <v/>
      </c>
    </row>
    <row collapsed="false" customFormat="false" customHeight="false" hidden="false" ht="14.9" outlineLevel="0" r="33">
      <c r="B33" s="569" t="s">
        <v>643</v>
      </c>
      <c r="C33" s="579" t="n">
        <v>0.7081</v>
      </c>
      <c r="D33" s="580" t="inlineStr">
        <f aca="false">11_Inform_Gral_Presupuesto!Q5</f>
        <is>
          <t/>
        </is>
      </c>
      <c r="E33" s="581" t="n">
        <f aca="false">IF(ISERROR(D33/C33-1),"",D33/C33-1)</f>
        <v>0.411797860995179</v>
      </c>
    </row>
    <row collapsed="false" customFormat="false" customHeight="false" hidden="false" ht="14.9" outlineLevel="0" r="34">
      <c r="B34" s="569" t="s">
        <v>644</v>
      </c>
      <c r="C34" s="579" t="n">
        <v>0.0182</v>
      </c>
      <c r="D34" s="580" t="inlineStr">
        <f aca="false">11_Inform_Gral_Presupuesto!Q6</f>
        <is>
          <t/>
        </is>
      </c>
      <c r="E34" s="581" t="n">
        <f aca="false">IF(ISERROR(D34/C34-1),"",D34/C34-1)</f>
        <v>53.9450549450549</v>
      </c>
    </row>
    <row collapsed="false" customFormat="false" customHeight="false" hidden="false" ht="14.9" outlineLevel="0" r="35">
      <c r="B35" s="569" t="s">
        <v>645</v>
      </c>
      <c r="C35" s="579" t="n">
        <v>0.098</v>
      </c>
      <c r="D35" s="580" t="inlineStr">
        <f aca="false">11_Inform_Gral_Presupuesto!Q7</f>
        <is>
          <t/>
        </is>
      </c>
      <c r="E35" s="581" t="n">
        <f aca="false">IF(ISERROR(D35/C35-1),"",D35/C35-1)</f>
        <v>9.20404792315544</v>
      </c>
    </row>
    <row collapsed="false" customFormat="false" customHeight="false" hidden="false" ht="14.9" outlineLevel="0" r="36">
      <c r="B36" s="569" t="s">
        <v>646</v>
      </c>
      <c r="C36" s="579" t="n">
        <v>0.0094</v>
      </c>
      <c r="D36" s="580" t="inlineStr">
        <f aca="false">11_Inform_Gral_Presupuesto!Q8</f>
        <is>
          <t/>
        </is>
      </c>
      <c r="E36" s="581" t="n">
        <f aca="false">IF(ISERROR(D36/C36-1),"",D36/C36-1)</f>
        <v>105.382978723404</v>
      </c>
    </row>
    <row collapsed="false" customFormat="false" customHeight="false" hidden="false" ht="14.9" outlineLevel="0" r="37">
      <c r="B37" s="569" t="s">
        <v>647</v>
      </c>
      <c r="C37" s="579" t="n">
        <v>0.011</v>
      </c>
      <c r="D37" s="580" t="inlineStr">
        <f aca="false">11_Inform_Gral_Presupuesto!Q9</f>
        <is>
          <t/>
        </is>
      </c>
      <c r="E37" s="581" t="n">
        <f aca="false">IF(ISERROR(D37/C37-1),"",D37/C37-1)</f>
        <v>89.9090909090909</v>
      </c>
    </row>
    <row collapsed="false" customFormat="false" customHeight="false" hidden="false" ht="14.9" outlineLevel="0" r="38">
      <c r="B38" s="569" t="s">
        <v>648</v>
      </c>
      <c r="C38" s="579" t="n">
        <v>0.0357</v>
      </c>
      <c r="D38" s="580" t="inlineStr">
        <f aca="false">11_Inform_Gral_Presupuesto!Q10</f>
        <is>
          <t/>
        </is>
      </c>
      <c r="E38" s="581" t="n">
        <f aca="false">IF(ISERROR(D38/C38-1),"",D38/C38-1)</f>
        <v>27.0112044817927</v>
      </c>
    </row>
    <row collapsed="false" customFormat="false" customHeight="false" hidden="false" ht="14.9" outlineLevel="0" r="39">
      <c r="B39" s="569" t="s">
        <v>649</v>
      </c>
      <c r="C39" s="582" t="n">
        <v>0.0036</v>
      </c>
      <c r="D39" s="580" t="inlineStr">
        <f aca="false">11_Inform_Gral_Presupuesto!Q11</f>
        <is>
          <t/>
        </is>
      </c>
      <c r="E39" s="581" t="n">
        <f aca="false">IF(ISERROR(D39/C42-1),"",D39/C42-1)</f>
        <v>8.97008973080758</v>
      </c>
    </row>
    <row collapsed="false" customFormat="false" customHeight="false" hidden="false" ht="14.9" outlineLevel="0" r="40">
      <c r="B40" s="569" t="s">
        <v>650</v>
      </c>
      <c r="C40" s="579" t="n">
        <v>0.0019</v>
      </c>
      <c r="D40" s="580" t="inlineStr">
        <f aca="false">11_Inform_Gral_Presupuesto!Q12</f>
        <is>
          <t/>
        </is>
      </c>
      <c r="E40" s="581" t="n">
        <f aca="false">IF(ISERROR(D40/C40-1),"",D40/C40-1)</f>
        <v>525.303023804144</v>
      </c>
    </row>
    <row collapsed="false" customFormat="false" customHeight="false" hidden="false" ht="14.9" outlineLevel="0" r="41">
      <c r="B41" s="569" t="s">
        <v>651</v>
      </c>
      <c r="C41" s="579" t="n">
        <v>0.0138</v>
      </c>
      <c r="D41" s="580" t="inlineStr">
        <f aca="false">11_Inform_Gral_Presupuesto!Q13</f>
        <is>
          <t/>
        </is>
      </c>
      <c r="E41" s="581" t="n">
        <f aca="false">IF(ISERROR(D41/C41-1),"",D41/C41-1)</f>
        <v>71.463768115942</v>
      </c>
    </row>
    <row collapsed="false" customFormat="false" customHeight="false" hidden="false" ht="14.9" outlineLevel="0" r="42">
      <c r="B42" s="569" t="s">
        <v>500</v>
      </c>
      <c r="C42" s="579" t="n">
        <v>0.1003</v>
      </c>
      <c r="D42" s="580" t="inlineStr">
        <f aca="false">11_Inform_Gral_Presupuesto!Q14</f>
        <is>
          <t/>
        </is>
      </c>
      <c r="E42" s="581" t="n">
        <f aca="false">IF(ISERROR(D42/C42-1),"",D42/C42-1)</f>
        <v>8.9700851339024</v>
      </c>
    </row>
    <row collapsed="false" customFormat="false" customHeight="false" hidden="false" ht="14.9" outlineLevel="0" r="43">
      <c r="B43" s="583" t="s">
        <v>226</v>
      </c>
      <c r="C43" s="584" t="inlineStr">
        <f aca="false">SUM(C33:C42)</f>
        <is>
          <t/>
        </is>
      </c>
      <c r="D43" s="585" t="inlineStr">
        <f aca="false">11_Inform_Gral_Presupuesto!Q15</f>
        <is>
          <t/>
        </is>
      </c>
      <c r="E43" s="586" t="n">
        <f aca="false">IF(ISERROR(D43/C43-1),"",D43/C43-1)</f>
        <v>-0.000217085362105518</v>
      </c>
    </row>
  </sheetData>
  <mergeCells count="1">
    <mergeCell ref="B1:D1"/>
  </mergeCells>
  <printOptions headings="false" gridLines="false" gridLinesSet="true" horizontalCentered="false" verticalCentered="false"/>
  <pageMargins left="0.979861111111111" right="0.170138888888889" top="0.747916666666667" bottom="0.747916666666667" header="0.511805555555555" footer="0.511805555555555"/>
  <pageSetup blackAndWhite="false" cellComments="none" copies="1" draft="false" firstPageNumber="0" fitToHeight="1" fitToWidth="1" horizontalDpi="300" orientation="portrait" pageOrder="downThenOver" paperSize="9" scale="75" useFirstPageNumber="false" usePrinterDefaults="false" verticalDpi="300"/>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sheetPr filterMode="false">
    <pageSetUpPr fitToPage="false"/>
  </sheetPr>
  <dimension ref="B1:D70"/>
  <sheetViews>
    <sheetView colorId="64" defaultGridColor="true" rightToLeft="false" showFormulas="false" showGridLines="true" showOutlineSymbols="true" showRowColHeaders="true" showZeros="true" tabSelected="false" topLeftCell="A49" view="normal" windowProtection="false" workbookViewId="0" zoomScale="100" zoomScaleNormal="100" zoomScalePageLayoutView="100">
      <selection activeCell="D61" activeCellId="0" pane="topLeft" sqref="D61"/>
    </sheetView>
  </sheetViews>
  <cols>
    <col collapsed="false" hidden="false" max="1" min="1" style="587" width="2.43921568627451"/>
    <col collapsed="false" hidden="false" max="2" min="2" style="587" width="43.3176470588235"/>
    <col collapsed="false" hidden="false" max="3" min="3" style="587" width="23.521568627451"/>
    <col collapsed="false" hidden="false" max="4" min="4" style="587" width="14.7725490196078"/>
    <col collapsed="false" hidden="false" max="257" min="5" style="587" width="11.4745098039216"/>
  </cols>
  <sheetData>
    <row collapsed="false" customFormat="false" customHeight="false" hidden="false" ht="15.65" outlineLevel="0" r="1">
      <c r="B1" s="588" t="s">
        <v>679</v>
      </c>
    </row>
    <row collapsed="false" customFormat="false" customHeight="false" hidden="false" ht="14" outlineLevel="0" r="2">
      <c r="B2" s="589" t="s">
        <v>680</v>
      </c>
      <c r="C2" s="590"/>
    </row>
    <row collapsed="false" customFormat="false" customHeight="false" hidden="false" ht="14" outlineLevel="0" r="3">
      <c r="B3" s="395" t="s">
        <v>502</v>
      </c>
      <c r="C3" s="591" t="s">
        <v>681</v>
      </c>
      <c r="D3" s="592" t="s">
        <v>682</v>
      </c>
    </row>
    <row collapsed="false" customFormat="false" customHeight="false" hidden="false" ht="14.9" outlineLevel="0" r="4">
      <c r="B4" s="593" t="s">
        <v>683</v>
      </c>
      <c r="C4" s="594" t="n">
        <v>365</v>
      </c>
      <c r="D4" s="595" t="n">
        <v>365</v>
      </c>
    </row>
    <row collapsed="false" customFormat="false" customHeight="false" hidden="false" ht="14.9" outlineLevel="0" r="5">
      <c r="B5" s="596" t="s">
        <v>684</v>
      </c>
      <c r="C5" s="597" t="n">
        <v>105</v>
      </c>
      <c r="D5" s="598" t="n">
        <v>105</v>
      </c>
    </row>
    <row collapsed="false" customFormat="false" customHeight="false" hidden="false" ht="14.9" outlineLevel="0" r="6">
      <c r="B6" s="596" t="s">
        <v>685</v>
      </c>
      <c r="C6" s="597" t="n">
        <v>3</v>
      </c>
      <c r="D6" s="598" t="n">
        <v>3</v>
      </c>
    </row>
    <row collapsed="false" customFormat="false" customHeight="false" hidden="false" ht="14.9" outlineLevel="0" r="7">
      <c r="B7" s="596" t="s">
        <v>686</v>
      </c>
      <c r="C7" s="597" t="n">
        <f aca="false">11+6</f>
        <v>17</v>
      </c>
      <c r="D7" s="598" t="n">
        <f aca="false">6+5+5</f>
        <v>16</v>
      </c>
    </row>
    <row collapsed="false" customFormat="false" customHeight="false" hidden="false" ht="14.9" outlineLevel="0" r="8">
      <c r="B8" s="593" t="s">
        <v>687</v>
      </c>
      <c r="C8" s="599" t="n">
        <f aca="false">C4-SUM(C5:C7)</f>
        <v>240</v>
      </c>
      <c r="D8" s="600" t="n">
        <f aca="false">D4-SUM(D5:D7)</f>
        <v>241</v>
      </c>
    </row>
    <row collapsed="false" customFormat="false" customHeight="false" hidden="false" ht="14.9" outlineLevel="0" r="9">
      <c r="B9" s="596" t="s">
        <v>688</v>
      </c>
      <c r="C9" s="601" t="n">
        <v>0.18</v>
      </c>
      <c r="D9" s="602" t="n">
        <v>0.18</v>
      </c>
    </row>
    <row collapsed="false" customFormat="false" customHeight="false" hidden="false" ht="14.9" outlineLevel="0" r="10">
      <c r="B10" s="596" t="s">
        <v>689</v>
      </c>
      <c r="C10" s="603" t="n">
        <f aca="false">IF(ISERROR(C8*C9),"",ROUND(C8*C9,1))</f>
        <v>43.2</v>
      </c>
      <c r="D10" s="604" t="n">
        <f aca="false">IF(ISERROR(D8*D9),"",ROUND(D8*D9,1))</f>
        <v>43.4</v>
      </c>
    </row>
    <row collapsed="false" customFormat="false" customHeight="false" hidden="false" ht="14.9" outlineLevel="0" r="11">
      <c r="B11" s="593" t="s">
        <v>690</v>
      </c>
      <c r="C11" s="605" t="n">
        <f aca="false">SUM(C8)-SUM(C10)</f>
        <v>196.8</v>
      </c>
      <c r="D11" s="606" t="n">
        <f aca="false">SUM(D8)-SUM(D10)</f>
        <v>197.6</v>
      </c>
    </row>
    <row collapsed="false" customFormat="false" customHeight="false" hidden="false" ht="14.9" outlineLevel="0" r="12">
      <c r="B12" s="607" t="s">
        <v>691</v>
      </c>
      <c r="C12" s="608" t="n">
        <v>12</v>
      </c>
      <c r="D12" s="609" t="n">
        <v>12</v>
      </c>
    </row>
    <row collapsed="false" customFormat="false" customHeight="false" hidden="false" ht="14" outlineLevel="0" r="13">
      <c r="B13" s="610"/>
      <c r="C13" s="611"/>
    </row>
    <row collapsed="false" customFormat="false" customHeight="false" hidden="false" ht="14" outlineLevel="0" r="14">
      <c r="B14" s="612" t="s">
        <v>692</v>
      </c>
      <c r="C14" s="590"/>
      <c r="D14" s="590"/>
    </row>
    <row collapsed="false" customFormat="false" customHeight="false" hidden="false" ht="14" outlineLevel="0" r="15">
      <c r="B15" s="589" t="s">
        <v>693</v>
      </c>
      <c r="C15" s="590"/>
      <c r="D15" s="590"/>
    </row>
    <row collapsed="false" customFormat="false" customHeight="false" hidden="false" ht="20.85" outlineLevel="0" r="16">
      <c r="B16" s="613" t="s">
        <v>561</v>
      </c>
      <c r="C16" s="614" t="s">
        <v>502</v>
      </c>
      <c r="D16" s="615" t="s">
        <v>694</v>
      </c>
    </row>
    <row collapsed="false" customFormat="false" customHeight="false" hidden="false" ht="14.9" outlineLevel="0" r="17">
      <c r="B17" s="616" t="s">
        <v>695</v>
      </c>
      <c r="C17" s="617"/>
      <c r="D17" s="618"/>
    </row>
    <row collapsed="false" customFormat="false" customHeight="true" hidden="false" ht="14" outlineLevel="0" r="18">
      <c r="B18" s="619" t="s">
        <v>696</v>
      </c>
      <c r="C18" s="620" t="s">
        <v>697</v>
      </c>
      <c r="D18" s="621" t="n">
        <v>10</v>
      </c>
    </row>
    <row collapsed="false" customFormat="false" customHeight="false" hidden="false" ht="14" outlineLevel="0" r="19">
      <c r="B19" s="619"/>
      <c r="C19" s="620" t="s">
        <v>698</v>
      </c>
      <c r="D19" s="621" t="n">
        <v>15</v>
      </c>
    </row>
    <row collapsed="false" customFormat="false" customHeight="false" hidden="false" ht="14.9" outlineLevel="0" r="20">
      <c r="B20" s="616" t="s">
        <v>699</v>
      </c>
      <c r="C20" s="617"/>
      <c r="D20" s="622"/>
    </row>
    <row collapsed="false" customFormat="false" customHeight="true" hidden="false" ht="14" outlineLevel="0" r="21">
      <c r="B21" s="619" t="s">
        <v>696</v>
      </c>
      <c r="C21" s="620" t="s">
        <v>700</v>
      </c>
      <c r="D21" s="621" t="n">
        <v>30</v>
      </c>
    </row>
    <row collapsed="false" customFormat="false" customHeight="false" hidden="false" ht="14" outlineLevel="0" r="22">
      <c r="B22" s="619"/>
      <c r="C22" s="620" t="s">
        <v>701</v>
      </c>
      <c r="D22" s="621" t="n">
        <v>30</v>
      </c>
    </row>
    <row collapsed="false" customFormat="false" customHeight="false" hidden="false" ht="14.9" outlineLevel="0" r="23">
      <c r="B23" s="616" t="s">
        <v>702</v>
      </c>
      <c r="C23" s="617"/>
      <c r="D23" s="622"/>
    </row>
    <row collapsed="false" customFormat="false" customHeight="false" hidden="false" ht="14.9" outlineLevel="0" r="24">
      <c r="B24" s="619" t="s">
        <v>702</v>
      </c>
      <c r="C24" s="620" t="s">
        <v>697</v>
      </c>
      <c r="D24" s="621" t="s">
        <v>350</v>
      </c>
    </row>
    <row collapsed="false" customFormat="false" customHeight="false" hidden="false" ht="14.9" outlineLevel="0" r="25">
      <c r="B25" s="619" t="s">
        <v>702</v>
      </c>
      <c r="C25" s="620" t="s">
        <v>698</v>
      </c>
      <c r="D25" s="621" t="n">
        <v>30</v>
      </c>
    </row>
    <row collapsed="false" customFormat="false" customHeight="false" hidden="false" ht="14.9" outlineLevel="0" r="26">
      <c r="B26" s="616" t="s">
        <v>703</v>
      </c>
      <c r="C26" s="623"/>
      <c r="D26" s="624"/>
    </row>
    <row collapsed="false" customFormat="false" customHeight="false" hidden="false" ht="14" outlineLevel="0" r="27">
      <c r="B27" s="596" t="str">
        <f aca="false">5_Produccion_Desagregada_09_10!C35</f>
        <v>Medicina Interna </v>
      </c>
      <c r="C27" s="620" t="s">
        <v>704</v>
      </c>
      <c r="D27" s="621" t="s">
        <v>597</v>
      </c>
    </row>
    <row collapsed="false" customFormat="false" customHeight="false" hidden="false" ht="14" outlineLevel="0" r="28">
      <c r="B28" s="596"/>
      <c r="C28" s="620" t="s">
        <v>705</v>
      </c>
      <c r="D28" s="621" t="n">
        <v>20</v>
      </c>
    </row>
    <row collapsed="false" customFormat="false" customHeight="false" hidden="false" ht="14" outlineLevel="0" r="29">
      <c r="B29" s="596" t="str">
        <f aca="false">5_Produccion_Desagregada_09_10!C36</f>
        <v>Infectología</v>
      </c>
      <c r="C29" s="620" t="s">
        <v>704</v>
      </c>
      <c r="D29" s="621" t="s">
        <v>597</v>
      </c>
    </row>
    <row collapsed="false" customFormat="false" customHeight="false" hidden="false" ht="14" outlineLevel="0" r="30">
      <c r="B30" s="596"/>
      <c r="C30" s="620" t="s">
        <v>705</v>
      </c>
      <c r="D30" s="621" t="n">
        <v>20</v>
      </c>
    </row>
    <row collapsed="false" customFormat="false" customHeight="false" hidden="false" ht="14" outlineLevel="0" r="31">
      <c r="B31" s="596" t="str">
        <f aca="false">5_Produccion_Desagregada_09_10!C37</f>
        <v>Nefrología</v>
      </c>
      <c r="C31" s="620" t="s">
        <v>704</v>
      </c>
      <c r="D31" s="621" t="s">
        <v>597</v>
      </c>
    </row>
    <row collapsed="false" customFormat="false" customHeight="false" hidden="false" ht="14" outlineLevel="0" r="32">
      <c r="B32" s="596"/>
      <c r="C32" s="620" t="s">
        <v>705</v>
      </c>
      <c r="D32" s="621" t="n">
        <v>20</v>
      </c>
    </row>
    <row collapsed="false" customFormat="false" customHeight="false" hidden="false" ht="14" outlineLevel="0" r="33">
      <c r="B33" s="596" t="str">
        <f aca="false">5_Produccion_Desagregada_09_10!C38</f>
        <v>Hematología</v>
      </c>
      <c r="C33" s="620" t="s">
        <v>704</v>
      </c>
      <c r="D33" s="621" t="s">
        <v>597</v>
      </c>
    </row>
    <row collapsed="false" customFormat="false" customHeight="false" hidden="false" ht="14" outlineLevel="0" r="34">
      <c r="B34" s="596"/>
      <c r="C34" s="620" t="s">
        <v>705</v>
      </c>
      <c r="D34" s="621" t="n">
        <v>20</v>
      </c>
    </row>
    <row collapsed="false" customFormat="false" customHeight="false" hidden="false" ht="14" outlineLevel="0" r="35">
      <c r="B35" s="596" t="str">
        <f aca="false">5_Produccion_Desagregada_09_10!C39</f>
        <v>Oncología</v>
      </c>
      <c r="C35" s="620" t="s">
        <v>704</v>
      </c>
      <c r="D35" s="621" t="s">
        <v>597</v>
      </c>
    </row>
    <row collapsed="false" customFormat="false" customHeight="false" hidden="false" ht="14" outlineLevel="0" r="36">
      <c r="B36" s="596"/>
      <c r="C36" s="620" t="s">
        <v>705</v>
      </c>
      <c r="D36" s="621" t="n">
        <v>20</v>
      </c>
    </row>
    <row collapsed="false" customFormat="false" customHeight="false" hidden="false" ht="14" outlineLevel="0" r="37">
      <c r="B37" s="596" t="str">
        <f aca="false">5_Produccion_Desagregada_09_10!C40</f>
        <v>Neonatología</v>
      </c>
      <c r="C37" s="620" t="s">
        <v>704</v>
      </c>
      <c r="D37" s="621" t="s">
        <v>597</v>
      </c>
    </row>
    <row collapsed="false" customFormat="false" customHeight="false" hidden="false" ht="14" outlineLevel="0" r="38">
      <c r="B38" s="596"/>
      <c r="C38" s="620" t="s">
        <v>705</v>
      </c>
      <c r="D38" s="621" t="n">
        <v>20</v>
      </c>
    </row>
    <row collapsed="false" customFormat="false" customHeight="false" hidden="false" ht="14" outlineLevel="0" r="39">
      <c r="B39" s="596" t="str">
        <f aca="false">5_Produccion_Desagregada_09_10!C42</f>
        <v>Cirugía General</v>
      </c>
      <c r="C39" s="620" t="s">
        <v>704</v>
      </c>
      <c r="D39" s="621" t="s">
        <v>597</v>
      </c>
    </row>
    <row collapsed="false" customFormat="false" customHeight="false" hidden="false" ht="14" outlineLevel="0" r="40">
      <c r="B40" s="596"/>
      <c r="C40" s="620" t="s">
        <v>705</v>
      </c>
      <c r="D40" s="621" t="n">
        <v>20</v>
      </c>
    </row>
    <row collapsed="false" customFormat="false" customHeight="false" hidden="false" ht="14" outlineLevel="0" r="41">
      <c r="B41" s="596" t="str">
        <f aca="false">5_Produccion_Desagregada_09_10!C43</f>
        <v>Cirugía Plastica</v>
      </c>
      <c r="C41" s="620" t="s">
        <v>704</v>
      </c>
      <c r="D41" s="621" t="s">
        <v>597</v>
      </c>
    </row>
    <row collapsed="false" customFormat="false" customHeight="false" hidden="false" ht="14" outlineLevel="0" r="42">
      <c r="B42" s="596"/>
      <c r="C42" s="620" t="s">
        <v>705</v>
      </c>
      <c r="D42" s="621" t="n">
        <v>20</v>
      </c>
    </row>
    <row collapsed="false" customFormat="false" customHeight="false" hidden="false" ht="14" outlineLevel="0" r="43">
      <c r="B43" s="596" t="str">
        <f aca="false">5_Produccion_Desagregada_09_10!C44</f>
        <v>Neurocirugía</v>
      </c>
      <c r="C43" s="620" t="s">
        <v>704</v>
      </c>
      <c r="D43" s="621" t="s">
        <v>597</v>
      </c>
    </row>
    <row collapsed="false" customFormat="false" customHeight="false" hidden="false" ht="14" outlineLevel="0" r="44">
      <c r="B44" s="596"/>
      <c r="C44" s="620" t="s">
        <v>705</v>
      </c>
      <c r="D44" s="621" t="n">
        <v>20</v>
      </c>
    </row>
    <row collapsed="false" customFormat="false" customHeight="false" hidden="false" ht="14" outlineLevel="0" r="45">
      <c r="B45" s="596" t="str">
        <f aca="false">5_Produccion_Desagregada_09_10!C45</f>
        <v>Oftalmología</v>
      </c>
      <c r="C45" s="620" t="s">
        <v>704</v>
      </c>
      <c r="D45" s="621" t="s">
        <v>597</v>
      </c>
    </row>
    <row collapsed="false" customFormat="false" customHeight="false" hidden="false" ht="14" outlineLevel="0" r="46">
      <c r="B46" s="596"/>
      <c r="C46" s="620" t="s">
        <v>705</v>
      </c>
      <c r="D46" s="621" t="n">
        <v>20</v>
      </c>
    </row>
    <row collapsed="false" customFormat="false" customHeight="false" hidden="false" ht="14" outlineLevel="0" r="47">
      <c r="B47" s="596" t="str">
        <f aca="false">5_Produccion_Desagregada_09_10!C46</f>
        <v>Otorrinolaringología</v>
      </c>
      <c r="C47" s="620" t="s">
        <v>704</v>
      </c>
      <c r="D47" s="621" t="s">
        <v>597</v>
      </c>
    </row>
    <row collapsed="false" customFormat="false" customHeight="false" hidden="false" ht="14" outlineLevel="0" r="48">
      <c r="B48" s="596"/>
      <c r="C48" s="620" t="s">
        <v>705</v>
      </c>
      <c r="D48" s="621" t="n">
        <v>20</v>
      </c>
    </row>
    <row collapsed="false" customFormat="false" customHeight="false" hidden="false" ht="14" outlineLevel="0" r="49">
      <c r="B49" s="596" t="str">
        <f aca="false">5_Produccion_Desagregada_09_10!C47</f>
        <v>Ortopedia</v>
      </c>
      <c r="C49" s="620" t="s">
        <v>704</v>
      </c>
      <c r="D49" s="621" t="s">
        <v>597</v>
      </c>
    </row>
    <row collapsed="false" customFormat="false" customHeight="false" hidden="false" ht="14" outlineLevel="0" r="50">
      <c r="B50" s="596"/>
      <c r="C50" s="620" t="s">
        <v>705</v>
      </c>
      <c r="D50" s="621" t="n">
        <v>20</v>
      </c>
    </row>
    <row collapsed="false" customFormat="false" customHeight="false" hidden="false" ht="14" outlineLevel="0" r="51">
      <c r="B51" s="596" t="str">
        <f aca="false">5_Produccion_Desagregada_09_10!C55</f>
        <v>Unidad de Cuidados Intensivos</v>
      </c>
      <c r="C51" s="620" t="s">
        <v>704</v>
      </c>
      <c r="D51" s="621" t="s">
        <v>597</v>
      </c>
    </row>
    <row collapsed="false" customFormat="false" customHeight="false" hidden="false" ht="14" outlineLevel="0" r="52">
      <c r="B52" s="596"/>
      <c r="C52" s="620" t="s">
        <v>705</v>
      </c>
      <c r="D52" s="621" t="n">
        <v>60</v>
      </c>
    </row>
    <row collapsed="false" customFormat="false" customHeight="false" hidden="false" ht="14" outlineLevel="0" r="53">
      <c r="B53" s="596" t="str">
        <f aca="false">5_Produccion_Desagregada_09_10!C56</f>
        <v>Unidad de Cuidados Intermedios</v>
      </c>
      <c r="C53" s="620" t="s">
        <v>704</v>
      </c>
      <c r="D53" s="621" t="s">
        <v>597</v>
      </c>
    </row>
    <row collapsed="false" customFormat="false" customHeight="false" hidden="false" ht="14" outlineLevel="0" r="54">
      <c r="B54" s="596"/>
      <c r="C54" s="620" t="s">
        <v>705</v>
      </c>
      <c r="D54" s="621" t="n">
        <v>45</v>
      </c>
    </row>
    <row collapsed="false" customFormat="false" customHeight="false" hidden="false" ht="14" outlineLevel="0" r="55">
      <c r="B55" s="596" t="str">
        <f aca="false">5_Produccion_Desagregada_09_10!C57</f>
        <v>Unidad de Cuidados Intensivos Neonatales</v>
      </c>
      <c r="C55" s="620" t="s">
        <v>704</v>
      </c>
      <c r="D55" s="621" t="s">
        <v>597</v>
      </c>
    </row>
    <row collapsed="false" customFormat="false" customHeight="false" hidden="false" ht="14" outlineLevel="0" r="56">
      <c r="B56" s="596"/>
      <c r="C56" s="620" t="s">
        <v>705</v>
      </c>
      <c r="D56" s="621" t="n">
        <v>60</v>
      </c>
    </row>
    <row collapsed="false" customFormat="false" customHeight="false" hidden="false" ht="14" outlineLevel="0" r="57">
      <c r="B57" s="596" t="str">
        <f aca="false">5_Produccion_Desagregada_09_10!C48</f>
        <v>Otros Servicios (Convenios / BM / ISSS)</v>
      </c>
      <c r="C57" s="620" t="s">
        <v>704</v>
      </c>
      <c r="D57" s="621" t="s">
        <v>597</v>
      </c>
    </row>
    <row collapsed="false" customFormat="false" customHeight="false" hidden="false" ht="14" outlineLevel="0" r="58">
      <c r="B58" s="596"/>
      <c r="C58" s="620" t="s">
        <v>705</v>
      </c>
      <c r="D58" s="621" t="n">
        <v>20</v>
      </c>
    </row>
    <row collapsed="false" customFormat="false" customHeight="false" hidden="false" ht="14.9" outlineLevel="0" r="59">
      <c r="B59" s="616" t="s">
        <v>706</v>
      </c>
      <c r="C59" s="623"/>
      <c r="D59" s="625"/>
    </row>
    <row collapsed="false" customFormat="false" customHeight="true" hidden="false" ht="14" outlineLevel="0" r="60">
      <c r="B60" s="596" t="s">
        <v>706</v>
      </c>
      <c r="C60" s="626" t="s">
        <v>707</v>
      </c>
      <c r="D60" s="621" t="s">
        <v>597</v>
      </c>
    </row>
    <row collapsed="false" customFormat="false" customHeight="false" hidden="false" ht="14" outlineLevel="0" r="61">
      <c r="B61" s="596"/>
      <c r="C61" s="626" t="s">
        <v>708</v>
      </c>
      <c r="D61" s="621" t="s">
        <v>597</v>
      </c>
    </row>
    <row collapsed="false" customFormat="false" customHeight="false" hidden="false" ht="14.9" outlineLevel="0" r="62">
      <c r="B62" s="616" t="s">
        <v>709</v>
      </c>
      <c r="C62" s="623" t="s">
        <v>709</v>
      </c>
      <c r="D62" s="621"/>
    </row>
    <row collapsed="false" customFormat="false" customHeight="true" hidden="false" ht="15" outlineLevel="0" r="63">
      <c r="B63" s="596" t="s">
        <v>710</v>
      </c>
      <c r="C63" s="596"/>
      <c r="D63" s="621" t="s">
        <v>597</v>
      </c>
    </row>
    <row collapsed="false" customFormat="false" customHeight="false" hidden="false" ht="14.9" outlineLevel="0" r="64">
      <c r="B64" s="616" t="s">
        <v>711</v>
      </c>
      <c r="C64" s="623"/>
      <c r="D64" s="625"/>
    </row>
    <row collapsed="false" customFormat="false" customHeight="true" hidden="false" ht="15" outlineLevel="0" r="65">
      <c r="B65" s="596" t="str">
        <f aca="false">5_Produccion_Desagregada_09_10!C24</f>
        <v>Tratamientos de Nefrología (Diálisis peritoneal)</v>
      </c>
      <c r="C65" s="596"/>
      <c r="D65" s="621" t="s">
        <v>597</v>
      </c>
    </row>
    <row collapsed="false" customFormat="false" customHeight="true" hidden="false" ht="15" outlineLevel="0" r="66">
      <c r="B66" s="596" t="str">
        <f aca="false">5_Produccion_Desagregada_09_10!C25</f>
        <v>Tratamientos de Nefrología (Hemodiálisis)</v>
      </c>
      <c r="C66" s="596"/>
      <c r="D66" s="621" t="s">
        <v>597</v>
      </c>
    </row>
    <row collapsed="false" customFormat="false" customHeight="true" hidden="false" ht="15" outlineLevel="0" r="67">
      <c r="B67" s="596" t="str">
        <f aca="false">5_Produccion_Desagregada_09_10!C26</f>
        <v>Tratamientos de Oncología </v>
      </c>
      <c r="C67" s="596"/>
      <c r="D67" s="621" t="s">
        <v>597</v>
      </c>
    </row>
    <row collapsed="false" customFormat="false" customHeight="true" hidden="false" ht="15" outlineLevel="0" r="68">
      <c r="B68" s="596" t="str">
        <f aca="false">5_Produccion_Desagregada_09_10!C27</f>
        <v>Tratamientos de Hematología</v>
      </c>
      <c r="C68" s="596"/>
      <c r="D68" s="621" t="s">
        <v>597</v>
      </c>
    </row>
    <row collapsed="false" customFormat="false" customHeight="true" hidden="false" ht="15" outlineLevel="0" r="69">
      <c r="B69" s="596" t="str">
        <f aca="false">5_Produccion_Desagregada_09_10!C28</f>
        <v>Tratamientos de Oftalmología</v>
      </c>
      <c r="C69" s="596"/>
      <c r="D69" s="621" t="s">
        <v>597</v>
      </c>
    </row>
    <row collapsed="false" customFormat="false" customHeight="true" hidden="false" ht="15.75" outlineLevel="0" r="70">
      <c r="B70" s="627" t="str">
        <f aca="false">5_Produccion_Desagregada_09_10!C29</f>
        <v>Cirugía Ambulatoria</v>
      </c>
      <c r="C70" s="627"/>
      <c r="D70" s="621" t="s">
        <v>597</v>
      </c>
    </row>
  </sheetData>
  <mergeCells count="26">
    <mergeCell ref="B18:B19"/>
    <mergeCell ref="B21:B22"/>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60:B61"/>
    <mergeCell ref="B63:C63"/>
    <mergeCell ref="B65:C65"/>
    <mergeCell ref="B66:C66"/>
    <mergeCell ref="B67:C67"/>
    <mergeCell ref="B68:C68"/>
    <mergeCell ref="B69:C69"/>
    <mergeCell ref="B70:C70"/>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sheetPr filterMode="false">
    <pageSetUpPr fitToPage="false"/>
  </sheetPr>
  <dimension ref="B1:P33"/>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Right" topLeftCell="C15" xSplit="2" ySplit="3"/>
      <selection activeCell="A1" activeCellId="0" pane="topLeft" sqref="A1"/>
      <selection activeCell="C1" activeCellId="0" pane="topRight" sqref="C1"/>
      <selection activeCell="A15" activeCellId="0" pane="bottomLeft" sqref="A15"/>
      <selection activeCell="E25" activeCellId="0" pane="bottomRight" sqref="E25"/>
    </sheetView>
  </sheetViews>
  <cols>
    <col collapsed="false" hidden="false" max="1" min="1" style="561" width="2.43921568627451"/>
    <col collapsed="false" hidden="false" max="2" min="2" style="561" width="49.2078431372549"/>
    <col collapsed="false" hidden="false" max="3" min="3" style="561" width="11.4745098039216"/>
    <col collapsed="false" hidden="false" max="4" min="4" style="561" width="17.7843137254902"/>
    <col collapsed="false" hidden="false" max="5" min="5" style="561" width="13.0509803921569"/>
    <col collapsed="false" hidden="false" max="6" min="6" style="561" width="13.4823529411765"/>
    <col collapsed="false" hidden="false" max="7" min="7" style="561" width="12.3333333333333"/>
    <col collapsed="false" hidden="false" max="16" min="8" style="628" width="12.3333333333333"/>
    <col collapsed="false" hidden="false" max="257" min="17" style="561" width="11.4745098039216"/>
  </cols>
  <sheetData>
    <row collapsed="false" customFormat="false" customHeight="false" hidden="false" ht="14" outlineLevel="0" r="1">
      <c r="B1" s="629" t="s">
        <v>712</v>
      </c>
      <c r="C1" s="629"/>
      <c r="D1" s="629"/>
      <c r="E1" s="629"/>
      <c r="F1" s="629"/>
      <c r="G1" s="629"/>
      <c r="H1" s="629"/>
      <c r="I1" s="629"/>
      <c r="J1" s="629"/>
      <c r="K1" s="629"/>
      <c r="L1" s="629"/>
      <c r="M1" s="629"/>
      <c r="N1" s="629"/>
      <c r="O1" s="629"/>
      <c r="P1" s="629"/>
    </row>
    <row collapsed="false" customFormat="false" customHeight="false" hidden="false" ht="35.05" outlineLevel="0" r="3">
      <c r="B3" s="630" t="s">
        <v>297</v>
      </c>
      <c r="C3" s="614" t="s">
        <v>338</v>
      </c>
      <c r="D3" s="631" t="s">
        <v>713</v>
      </c>
      <c r="E3" s="631" t="s">
        <v>714</v>
      </c>
      <c r="F3" s="632" t="s">
        <v>715</v>
      </c>
      <c r="G3" s="631" t="s">
        <v>716</v>
      </c>
      <c r="H3" s="633" t="s">
        <v>717</v>
      </c>
      <c r="I3" s="634"/>
      <c r="J3" s="634"/>
      <c r="K3" s="634"/>
      <c r="L3" s="634"/>
      <c r="M3" s="634"/>
      <c r="N3" s="634"/>
      <c r="O3" s="634"/>
      <c r="P3" s="634"/>
    </row>
    <row collapsed="false" customFormat="false" customHeight="false" hidden="false" ht="14" outlineLevel="0" r="4">
      <c r="B4" s="635" t="s">
        <v>718</v>
      </c>
      <c r="C4" s="636"/>
      <c r="D4" s="637"/>
      <c r="E4" s="638"/>
      <c r="F4" s="638"/>
      <c r="G4" s="637"/>
      <c r="H4" s="639"/>
      <c r="I4" s="640"/>
      <c r="J4" s="640"/>
      <c r="K4" s="640"/>
      <c r="L4" s="640"/>
      <c r="M4" s="640"/>
      <c r="N4" s="640"/>
      <c r="O4" s="640"/>
      <c r="P4" s="640"/>
    </row>
    <row collapsed="false" customFormat="false" customHeight="false" hidden="false" ht="14.9" outlineLevel="0" r="5">
      <c r="B5" s="641" t="str">
        <f aca="false">5_Produccion_Desagregada_09_10!C7</f>
        <v>Consulta General </v>
      </c>
      <c r="C5" s="642" t="n">
        <f aca="false">5_Produccion_Desagregada_09_10!F7</f>
        <v>0</v>
      </c>
      <c r="D5" s="643" t="n">
        <f aca="false">10_Distribucion_RRHH!N10*13_Normas_Programacion!$C$12</f>
        <v>1584</v>
      </c>
      <c r="E5" s="644" t="n">
        <f aca="false">IF(ISERROR(C5/D5),"",C5/D5)</f>
        <v>0</v>
      </c>
      <c r="F5" s="645" t="n">
        <f aca="false">IF(ISNUMBER(13_Normas_Programacion!D18),60/13_Normas_Programacion!D18,"")</f>
        <v>6</v>
      </c>
      <c r="G5" s="643" t="n">
        <f aca="false">IF(ISERROR(C5/F5),"",C5/F5)</f>
        <v>0</v>
      </c>
      <c r="H5" s="646" t="n">
        <f aca="false">IF(ISERROR(D5*F5),"",D5*F5)</f>
        <v>9504</v>
      </c>
      <c r="I5" s="640"/>
      <c r="J5" s="640"/>
      <c r="K5" s="640"/>
      <c r="L5" s="640"/>
      <c r="M5" s="640"/>
      <c r="N5" s="640"/>
      <c r="O5" s="640"/>
      <c r="P5" s="640"/>
    </row>
    <row collapsed="false" customFormat="false" customHeight="false" hidden="false" ht="14.9" outlineLevel="0" r="6">
      <c r="B6" s="641" t="str">
        <f aca="false">5_Produccion_Desagregada_09_10!C10</f>
        <v>Pediatria General</v>
      </c>
      <c r="C6" s="642" t="str">
        <f aca="false">5_Produccion_Desagregada_09_10!F10</f>
        <v>N/A</v>
      </c>
      <c r="D6" s="643" t="n">
        <f aca="false">10_Distribucion_RRHH!N13*13_Normas_Programacion!$C$12</f>
        <v>10560</v>
      </c>
      <c r="E6" s="644" t="str">
        <f aca="false">IF(ISERROR(C6/D6),"",C6/D6)</f>
        <v/>
      </c>
      <c r="F6" s="645" t="n">
        <f aca="false">IF(ISNUMBER(13_Normas_Programacion!$D$19),60/13_Normas_Programacion!$D$19,"")</f>
        <v>4</v>
      </c>
      <c r="G6" s="643" t="str">
        <f aca="false">IF(ISERROR(C6/F6),"",C6/F6)</f>
        <v/>
      </c>
      <c r="H6" s="646" t="n">
        <f aca="false">IF(ISERROR(D6*F6),"",D6*F6)</f>
        <v>42240</v>
      </c>
      <c r="I6" s="640"/>
      <c r="J6" s="640"/>
      <c r="K6" s="640"/>
      <c r="L6" s="640"/>
      <c r="M6" s="640"/>
      <c r="N6" s="640"/>
      <c r="O6" s="640"/>
      <c r="P6" s="640"/>
    </row>
    <row collapsed="false" customFormat="false" customHeight="false" hidden="false" ht="14.9" outlineLevel="0" r="7">
      <c r="B7" s="641" t="str">
        <f aca="false">5_Produccion_Desagregada_09_10!C11</f>
        <v>Cirugia Pediátrica General</v>
      </c>
      <c r="C7" s="642" t="str">
        <f aca="false">5_Produccion_Desagregada_09_10!F11</f>
        <v>N/A</v>
      </c>
      <c r="D7" s="643" t="n">
        <f aca="false">10_Distribucion_RRHH!N14*13_Normas_Programacion!$C$12</f>
        <v>0</v>
      </c>
      <c r="E7" s="644" t="str">
        <f aca="false">IF(ISERROR(C7/D7),"",C7/D7)</f>
        <v/>
      </c>
      <c r="F7" s="645" t="n">
        <f aca="false">IF(ISNUMBER(13_Normas_Programacion!$D$19),60/13_Normas_Programacion!$D$19,"")</f>
        <v>4</v>
      </c>
      <c r="G7" s="643" t="str">
        <f aca="false">IF(ISERROR(C7/F7),"",C7/F7)</f>
        <v/>
      </c>
      <c r="H7" s="646" t="n">
        <f aca="false">IF(ISERROR(D7*F7),"",D7*F7)</f>
        <v>0</v>
      </c>
      <c r="I7" s="640"/>
      <c r="J7" s="640"/>
      <c r="K7" s="640"/>
      <c r="L7" s="640"/>
      <c r="M7" s="640"/>
      <c r="N7" s="640"/>
      <c r="O7" s="640"/>
      <c r="P7" s="640"/>
    </row>
    <row collapsed="false" customFormat="false" customHeight="false" hidden="false" ht="14.9" outlineLevel="0" r="8">
      <c r="B8" s="641" t="str">
        <f aca="false">5_Produccion_Desagregada_09_10!C13</f>
        <v>Neonatología</v>
      </c>
      <c r="C8" s="642" t="str">
        <f aca="false">5_Produccion_Desagregada_09_10!F13</f>
        <v>N/A</v>
      </c>
      <c r="D8" s="643" t="n">
        <f aca="false">10_Distribucion_RRHH!N16*13_Normas_Programacion!$C$12</f>
        <v>0</v>
      </c>
      <c r="E8" s="644" t="str">
        <f aca="false">IF(ISERROR(C8/D8),"",C8/D8)</f>
        <v/>
      </c>
      <c r="F8" s="645" t="n">
        <f aca="false">IF(ISNUMBER(13_Normas_Programacion!$D$19),60/13_Normas_Programacion!$D$19,"")</f>
        <v>4</v>
      </c>
      <c r="G8" s="643" t="str">
        <f aca="false">IF(ISERROR(C8/F8),"",C8/F8)</f>
        <v/>
      </c>
      <c r="H8" s="646" t="n">
        <f aca="false">IF(ISERROR(D8*F8),"",D8*F8)</f>
        <v>0</v>
      </c>
      <c r="I8" s="640"/>
      <c r="J8" s="640"/>
      <c r="K8" s="640"/>
      <c r="L8" s="640"/>
      <c r="M8" s="640"/>
      <c r="N8" s="640"/>
      <c r="O8" s="640"/>
      <c r="P8" s="640"/>
    </row>
    <row collapsed="false" customFormat="false" customHeight="false" hidden="false" ht="14.9" outlineLevel="0" r="9">
      <c r="B9" s="641" t="str">
        <f aca="false">5_Produccion_Desagregada_09_10!C14</f>
        <v>Pediatria especializada</v>
      </c>
      <c r="C9" s="642" t="n">
        <f aca="false">5_Produccion_Desagregada_09_10!F14</f>
        <v>152087</v>
      </c>
      <c r="D9" s="643" t="n">
        <f aca="false">10_Distribucion_RRHH!N17*13_Normas_Programacion!$C$12</f>
        <v>43224.72</v>
      </c>
      <c r="E9" s="644" t="n">
        <f aca="false">IF(ISERROR(C9/D9),"",C9/D9)</f>
        <v>3.51851903262763</v>
      </c>
      <c r="F9" s="645" t="n">
        <f aca="false">IF(ISNUMBER(13_Normas_Programacion!$D$19),60/13_Normas_Programacion!$D$19,"")</f>
        <v>4</v>
      </c>
      <c r="G9" s="643" t="n">
        <f aca="false">IF(ISERROR(C9/F9),"",C9/F9)</f>
        <v>38021.75</v>
      </c>
      <c r="H9" s="646" t="n">
        <f aca="false">IF(ISERROR(D9*F9),"",D9*F9)</f>
        <v>172898.88</v>
      </c>
      <c r="I9" s="640"/>
      <c r="J9" s="640"/>
      <c r="K9" s="640"/>
      <c r="L9" s="640"/>
      <c r="M9" s="640"/>
      <c r="N9" s="640"/>
      <c r="O9" s="640"/>
      <c r="P9" s="640"/>
    </row>
    <row collapsed="false" customFormat="false" customHeight="false" hidden="false" ht="14.9" outlineLevel="0" r="10">
      <c r="B10" s="641" t="str">
        <f aca="false">5_Produccion_Desagregada_09_10!C15</f>
        <v>Cirugia Pediátrica Especilaizada</v>
      </c>
      <c r="C10" s="642" t="n">
        <f aca="false">5_Produccion_Desagregada_09_10!F15</f>
        <v>55634</v>
      </c>
      <c r="D10" s="643" t="n">
        <f aca="false">10_Distribucion_RRHH!N18*13_Normas_Programacion!$C$12</f>
        <v>6078.24</v>
      </c>
      <c r="E10" s="644" t="n">
        <f aca="false">IF(ISERROR(C10/D10),"",C10/D10)</f>
        <v>9.15297849377451</v>
      </c>
      <c r="F10" s="645" t="n">
        <f aca="false">IF(ISNUMBER(13_Normas_Programacion!$D$19),60/13_Normas_Programacion!$D$19,"")</f>
        <v>4</v>
      </c>
      <c r="G10" s="643" t="n">
        <f aca="false">IF(ISERROR(C10/F10),"",C10/F10)</f>
        <v>13908.5</v>
      </c>
      <c r="H10" s="646" t="n">
        <f aca="false">IF(ISERROR(D10*F10),"",D10*F10)</f>
        <v>24312.96</v>
      </c>
      <c r="I10" s="640"/>
      <c r="J10" s="640"/>
      <c r="K10" s="640"/>
      <c r="L10" s="640"/>
      <c r="M10" s="640"/>
      <c r="N10" s="640"/>
      <c r="O10" s="640"/>
      <c r="P10" s="640"/>
    </row>
    <row collapsed="false" customFormat="false" customHeight="false" hidden="false" ht="14.9" outlineLevel="0" r="11">
      <c r="B11" s="647" t="s">
        <v>719</v>
      </c>
      <c r="C11" s="648" t="n">
        <f aca="false">SUM(C5:C10)</f>
        <v>207721</v>
      </c>
      <c r="D11" s="648" t="n">
        <f aca="false">SUM(D5:D10)</f>
        <v>61446.96</v>
      </c>
      <c r="E11" s="649"/>
      <c r="F11" s="650"/>
      <c r="G11" s="648" t="n">
        <f aca="false">SUM(G5:G10)</f>
        <v>51930.25</v>
      </c>
      <c r="H11" s="651"/>
      <c r="I11" s="640"/>
      <c r="J11" s="640"/>
      <c r="K11" s="640"/>
      <c r="L11" s="640"/>
      <c r="M11" s="640"/>
      <c r="N11" s="640"/>
      <c r="O11" s="640"/>
      <c r="P11" s="640"/>
    </row>
    <row collapsed="false" customFormat="false" customHeight="false" hidden="false" ht="14.9" outlineLevel="0" r="12">
      <c r="B12" s="641" t="str">
        <f aca="false">5_Produccion_Desagregada_09_10!C17</f>
        <v>Consultas de Emergencia de Medicina Interna Pediatrica</v>
      </c>
      <c r="C12" s="642" t="n">
        <f aca="false">5_Produccion_Desagregada_09_10!F17</f>
        <v>9804</v>
      </c>
      <c r="D12" s="643" t="n">
        <f aca="false">10_Distribucion_RRHH!N20*13_Normas_Programacion!$C$12</f>
        <v>41883.6</v>
      </c>
      <c r="E12" s="644" t="n">
        <f aca="false">IF(ISERROR(C12/D12),"",C12/D12)</f>
        <v>0.234077299945563</v>
      </c>
      <c r="F12" s="645" t="str">
        <f aca="false">IF(ISNUMBER(13_Normas_Programacion!$D$24),60/13_Normas_Programacion!$D$24,"")</f>
        <v/>
      </c>
      <c r="G12" s="643" t="str">
        <f aca="false">IF(ISERROR(C12/F12),"",C12/F12)</f>
        <v/>
      </c>
      <c r="H12" s="646" t="str">
        <f aca="false">IF(ISERROR(D12*F12),"",D12*F12)</f>
        <v/>
      </c>
      <c r="I12" s="640"/>
      <c r="J12" s="640"/>
      <c r="K12" s="640"/>
      <c r="L12" s="640"/>
      <c r="M12" s="640"/>
      <c r="N12" s="640"/>
      <c r="O12" s="640"/>
      <c r="P12" s="640"/>
    </row>
    <row collapsed="false" customFormat="false" customHeight="false" hidden="false" ht="14.9" outlineLevel="0" r="13">
      <c r="B13" s="641" t="str">
        <f aca="false">5_Produccion_Desagregada_09_10!C18</f>
        <v>Consultas de Emergencia de Cirugia General Pediatrica</v>
      </c>
      <c r="C13" s="642" t="n">
        <f aca="false">5_Produccion_Desagregada_09_10!F18</f>
        <v>13464</v>
      </c>
      <c r="D13" s="643" t="n">
        <f aca="false">10_Distribucion_RRHH!N21*13_Normas_Programacion!$C$12</f>
        <v>21716.64</v>
      </c>
      <c r="E13" s="644" t="n">
        <f aca="false">IF(ISERROR(C13/D13),"",C13/D13)</f>
        <v>0.61998541210795</v>
      </c>
      <c r="F13" s="645" t="n">
        <f aca="false">IF(ISNUMBER(13_Normas_Programacion!$D$25),60/13_Normas_Programacion!$D$25,"")</f>
        <v>2</v>
      </c>
      <c r="G13" s="643" t="n">
        <f aca="false">IF(ISERROR(C13/F13),"",C13/F13)</f>
        <v>6732</v>
      </c>
      <c r="H13" s="646" t="n">
        <f aca="false">IF(ISERROR(D13*F13),"",D13*F13)</f>
        <v>43433.28</v>
      </c>
      <c r="I13" s="640"/>
      <c r="J13" s="640"/>
      <c r="K13" s="640"/>
      <c r="L13" s="640"/>
      <c r="M13" s="640"/>
      <c r="N13" s="640"/>
      <c r="O13" s="640"/>
      <c r="P13" s="640"/>
    </row>
    <row collapsed="false" customFormat="false" customHeight="false" hidden="false" ht="14.9" outlineLevel="0" r="14">
      <c r="B14" s="647" t="s">
        <v>720</v>
      </c>
      <c r="C14" s="648" t="n">
        <f aca="false">SUM(C12:C13)</f>
        <v>23268</v>
      </c>
      <c r="D14" s="648" t="n">
        <f aca="false">SUM(D12:D13)</f>
        <v>63600.24</v>
      </c>
      <c r="E14" s="649"/>
      <c r="F14" s="650"/>
      <c r="G14" s="648" t="n">
        <f aca="false">SUM(G12:G13)</f>
        <v>6732</v>
      </c>
      <c r="H14" s="651"/>
      <c r="I14" s="640"/>
      <c r="J14" s="640"/>
      <c r="K14" s="640"/>
      <c r="L14" s="640"/>
      <c r="M14" s="640"/>
      <c r="N14" s="640"/>
      <c r="O14" s="640"/>
      <c r="P14" s="640"/>
    </row>
    <row collapsed="false" customFormat="false" customHeight="false" hidden="false" ht="14.9" outlineLevel="0" r="15">
      <c r="B15" s="641" t="str">
        <f aca="false">5_Produccion_Desagregada_09_10!C20</f>
        <v>Consulta de Odontologia General</v>
      </c>
      <c r="C15" s="642" t="n">
        <f aca="false">5_Produccion_Desagregada_09_10!F20</f>
        <v>16487</v>
      </c>
      <c r="D15" s="643" t="n">
        <f aca="false">10_Distribucion_RRHH!N23*13_Normas_Programacion!$C$12</f>
        <v>5808</v>
      </c>
      <c r="E15" s="644" t="n">
        <f aca="false">IF(ISERROR(C15/D15),"",C15/D15)</f>
        <v>2.83867079889807</v>
      </c>
      <c r="F15" s="645" t="n">
        <f aca="false">IF(ISNUMBER(13_Normas_Programacion!$D$21),60/13_Normas_Programacion!$D$21,"")</f>
        <v>2</v>
      </c>
      <c r="G15" s="643" t="n">
        <f aca="false">IF(ISERROR(C15/F15),"",C15/F15)</f>
        <v>8243.5</v>
      </c>
      <c r="H15" s="646" t="n">
        <f aca="false">IF(ISERROR(D15*F15),"",D15*F15)</f>
        <v>11616</v>
      </c>
      <c r="I15" s="640"/>
      <c r="J15" s="640"/>
      <c r="K15" s="640"/>
      <c r="L15" s="640"/>
      <c r="M15" s="640"/>
      <c r="N15" s="640"/>
      <c r="O15" s="640"/>
      <c r="P15" s="640"/>
    </row>
    <row collapsed="false" customFormat="false" customHeight="false" hidden="false" ht="14.9" outlineLevel="0" r="16">
      <c r="B16" s="641" t="str">
        <f aca="false">5_Produccion_Desagregada_09_10!C21</f>
        <v>Consulta de Ortodoncia</v>
      </c>
      <c r="C16" s="642" t="n">
        <f aca="false">5_Produccion_Desagregada_09_10!F21</f>
        <v>1121</v>
      </c>
      <c r="D16" s="643" t="n">
        <f aca="false">10_Distribucion_RRHH!N24*13_Normas_Programacion!$C$12</f>
        <v>1056</v>
      </c>
      <c r="E16" s="644" t="n">
        <f aca="false">IF(ISERROR(C16/D16),"",C16/D16)</f>
        <v>1.06155303030303</v>
      </c>
      <c r="F16" s="645" t="n">
        <f aca="false">IF(ISNUMBER(13_Normas_Programacion!$D$22),60/13_Normas_Programacion!$D$22,"")</f>
        <v>2</v>
      </c>
      <c r="G16" s="643" t="n">
        <f aca="false">IF(ISERROR(C16/F16),"",C16/F16)</f>
        <v>560.5</v>
      </c>
      <c r="H16" s="646" t="n">
        <f aca="false">IF(ISERROR(D16*F16),"",D16*F16)</f>
        <v>2112</v>
      </c>
      <c r="I16" s="640"/>
      <c r="J16" s="640"/>
      <c r="K16" s="640"/>
      <c r="L16" s="640"/>
      <c r="M16" s="640"/>
      <c r="N16" s="640"/>
      <c r="O16" s="640"/>
      <c r="P16" s="640"/>
    </row>
    <row collapsed="false" customFormat="false" customHeight="false" hidden="false" ht="14.9" outlineLevel="0" r="17">
      <c r="B17" s="647" t="s">
        <v>721</v>
      </c>
      <c r="C17" s="648" t="n">
        <f aca="false">SUM(C5:C7)</f>
        <v>0</v>
      </c>
      <c r="D17" s="652" t="n">
        <f aca="false">SUM(D5:D7)</f>
        <v>12144</v>
      </c>
      <c r="E17" s="649" t="n">
        <f aca="false">IF(ISERROR(C17/D17),"",C17/D17)</f>
        <v>0</v>
      </c>
      <c r="F17" s="650" t="str">
        <f aca="false">IF(ISNUMBER(13_Normas_Programacion!D26),60/13_Normas_Programacion!D26,"")</f>
        <v/>
      </c>
      <c r="G17" s="652" t="n">
        <f aca="false">SUM(G5:G7)</f>
        <v>0</v>
      </c>
      <c r="H17" s="651"/>
      <c r="I17" s="653"/>
      <c r="J17" s="653"/>
      <c r="K17" s="653"/>
      <c r="L17" s="653"/>
      <c r="M17" s="653"/>
      <c r="N17" s="653"/>
      <c r="O17" s="653"/>
      <c r="P17" s="653"/>
    </row>
    <row collapsed="false" customFormat="false" customHeight="false" hidden="false" ht="14" outlineLevel="0" r="18">
      <c r="B18" s="635" t="s">
        <v>722</v>
      </c>
      <c r="C18" s="636"/>
      <c r="D18" s="637"/>
      <c r="E18" s="638"/>
      <c r="F18" s="638"/>
      <c r="G18" s="637"/>
      <c r="H18" s="639"/>
      <c r="I18" s="640"/>
      <c r="J18" s="640"/>
      <c r="K18" s="640"/>
      <c r="L18" s="640"/>
      <c r="M18" s="640"/>
      <c r="N18" s="640"/>
      <c r="O18" s="640"/>
      <c r="P18" s="640"/>
    </row>
    <row collapsed="false" customFormat="false" customHeight="false" hidden="false" ht="14" outlineLevel="0" r="19">
      <c r="B19" s="641" t="s">
        <v>723</v>
      </c>
      <c r="C19" s="654" t="n">
        <f aca="false">5_Produccion_Desagregada_09_10!F50</f>
        <v>4688</v>
      </c>
      <c r="D19" s="655"/>
      <c r="E19" s="655"/>
      <c r="F19" s="599"/>
      <c r="G19" s="655"/>
      <c r="H19" s="656"/>
      <c r="I19" s="640"/>
      <c r="J19" s="640"/>
      <c r="K19" s="640"/>
      <c r="L19" s="640"/>
      <c r="M19" s="640"/>
      <c r="N19" s="640"/>
      <c r="O19" s="640"/>
      <c r="P19" s="640"/>
    </row>
    <row collapsed="false" customFormat="false" customHeight="false" hidden="false" ht="14" outlineLevel="0" r="20">
      <c r="B20" s="641" t="s">
        <v>724</v>
      </c>
      <c r="C20" s="654" t="n">
        <f aca="false">5_Produccion_Desagregada_09_10!F51</f>
        <v>1939</v>
      </c>
      <c r="D20" s="655"/>
      <c r="E20" s="655"/>
      <c r="F20" s="599"/>
      <c r="G20" s="655"/>
      <c r="H20" s="656"/>
      <c r="I20" s="640"/>
      <c r="J20" s="640"/>
      <c r="K20" s="640"/>
      <c r="L20" s="640"/>
      <c r="M20" s="640"/>
      <c r="N20" s="640"/>
      <c r="O20" s="640"/>
      <c r="P20" s="640"/>
    </row>
    <row collapsed="false" customFormat="false" customHeight="false" hidden="false" ht="14" outlineLevel="0" r="21">
      <c r="B21" s="641" t="s">
        <v>725</v>
      </c>
      <c r="C21" s="654" t="n">
        <f aca="false">5_Produccion_Desagregada_09_10!F52</f>
        <v>3310</v>
      </c>
      <c r="D21" s="655"/>
      <c r="E21" s="655"/>
      <c r="F21" s="599"/>
      <c r="G21" s="655"/>
      <c r="H21" s="656"/>
      <c r="I21" s="640"/>
      <c r="J21" s="640"/>
      <c r="K21" s="640"/>
      <c r="L21" s="640"/>
      <c r="M21" s="640"/>
      <c r="N21" s="640"/>
      <c r="O21" s="640"/>
      <c r="P21" s="640"/>
    </row>
    <row collapsed="false" customFormat="false" customHeight="false" hidden="false" ht="14" outlineLevel="0" r="22">
      <c r="B22" s="641" t="s">
        <v>726</v>
      </c>
      <c r="C22" s="654" t="n">
        <f aca="false">5_Produccion_Desagregada_09_10!F53</f>
        <v>301</v>
      </c>
      <c r="D22" s="655"/>
      <c r="E22" s="655"/>
      <c r="F22" s="599"/>
      <c r="G22" s="655"/>
      <c r="H22" s="656"/>
      <c r="I22" s="640"/>
      <c r="J22" s="640"/>
      <c r="K22" s="640"/>
      <c r="L22" s="640"/>
      <c r="M22" s="640"/>
      <c r="N22" s="640"/>
      <c r="O22" s="640"/>
      <c r="P22" s="640"/>
    </row>
    <row collapsed="false" customFormat="false" customHeight="false" hidden="false" ht="14.9" outlineLevel="0" r="23">
      <c r="B23" s="647" t="s">
        <v>727</v>
      </c>
      <c r="C23" s="648" t="n">
        <f aca="false">SUM(C19:C22)</f>
        <v>10238</v>
      </c>
      <c r="D23" s="652" t="n">
        <f aca="false">10_Distribucion_RRHH!N51*13_Normas_Programacion!$C$12</f>
        <v>42828.72</v>
      </c>
      <c r="E23" s="649" t="n">
        <f aca="false">IF(ISERROR(C23/D23),"",C23/D23)</f>
        <v>0.239045201444264</v>
      </c>
      <c r="F23" s="657" t="str">
        <f aca="false">IF(ISERROR(60/AVERAGE(13_Normas_Programacion!D60:D61)),"",60/AVERAGE(13_Normas_Programacion!D60:D61))</f>
        <v/>
      </c>
      <c r="G23" s="652" t="str">
        <f aca="false">IF(ISERROR(C23/F23),"",C23/F23)</f>
        <v/>
      </c>
      <c r="H23" s="651" t="str">
        <f aca="false">IF(ISERROR(D23/G23),"",D23/G23)</f>
        <v/>
      </c>
      <c r="I23" s="640"/>
      <c r="J23" s="640"/>
      <c r="K23" s="640"/>
      <c r="L23" s="640"/>
      <c r="M23" s="640"/>
      <c r="N23" s="640"/>
      <c r="O23" s="640"/>
      <c r="P23" s="640"/>
    </row>
    <row collapsed="false" customFormat="false" customHeight="false" hidden="false" ht="14" outlineLevel="0" r="24">
      <c r="B24" s="635" t="s">
        <v>728</v>
      </c>
      <c r="C24" s="636"/>
      <c r="D24" s="637"/>
      <c r="E24" s="638"/>
      <c r="F24" s="638"/>
      <c r="G24" s="637"/>
      <c r="H24" s="639"/>
      <c r="I24" s="640"/>
      <c r="J24" s="640"/>
      <c r="K24" s="640"/>
      <c r="L24" s="640"/>
      <c r="M24" s="640"/>
      <c r="N24" s="640"/>
      <c r="O24" s="640"/>
      <c r="P24" s="640"/>
    </row>
    <row collapsed="false" customFormat="false" customHeight="false" hidden="false" ht="14.9" outlineLevel="0" r="25">
      <c r="B25" s="658" t="s">
        <v>729</v>
      </c>
      <c r="C25" s="659" t="n">
        <f aca="false">4_Comportamiento_Produccion!K13</f>
        <v>10153</v>
      </c>
      <c r="D25" s="643" t="n">
        <f aca="false">10_Distribucion_RRHH!N25</f>
        <v>327.36</v>
      </c>
      <c r="E25" s="644" t="n">
        <f aca="false">IF(ISERROR(C25/D25),"",C25/D25)</f>
        <v>31.0147849462366</v>
      </c>
      <c r="F25" s="660" t="str">
        <f aca="false">IF(ISNUMBER(13_Normas_Programacion!D62),60/13_Normas_Programacion!D62,"")</f>
        <v/>
      </c>
      <c r="G25" s="643" t="str">
        <f aca="false">IF(ISERROR(C25/F25),"",C25/F25)</f>
        <v/>
      </c>
      <c r="H25" s="646" t="str">
        <f aca="false">IF(ISERROR(D25*F25),"",D25*F25)</f>
        <v/>
      </c>
      <c r="I25" s="640"/>
      <c r="J25" s="640"/>
      <c r="K25" s="640"/>
      <c r="L25" s="640"/>
      <c r="M25" s="640"/>
      <c r="N25" s="640"/>
      <c r="O25" s="640"/>
      <c r="P25" s="640"/>
    </row>
    <row collapsed="false" customFormat="false" customHeight="false" hidden="false" ht="14" outlineLevel="0" r="26">
      <c r="B26" s="635" t="s">
        <v>730</v>
      </c>
      <c r="C26" s="636"/>
      <c r="D26" s="637"/>
      <c r="E26" s="638"/>
      <c r="F26" s="638"/>
      <c r="G26" s="637"/>
      <c r="H26" s="639"/>
    </row>
    <row collapsed="false" customFormat="false" customHeight="false" hidden="false" ht="14.9" outlineLevel="0" r="27">
      <c r="B27" s="641" t="str">
        <f aca="false">5_Produccion_Desagregada_09_10!C24</f>
        <v>Tratamientos de Nefrología (Diálisis peritoneal)</v>
      </c>
      <c r="C27" s="661" t="n">
        <f aca="false">5_Produccion_Desagregada_09_10!F24</f>
        <v>4707</v>
      </c>
      <c r="D27" s="661" t="n">
        <f aca="false">10_Distribucion_RRHH!N27</f>
        <v>121</v>
      </c>
      <c r="E27" s="644" t="n">
        <f aca="false">IF(ISERROR(C27/D27),"",C27/D27)</f>
        <v>38.900826446281</v>
      </c>
      <c r="F27" s="662" t="str">
        <f aca="false">IF(ISNUMBER(13_Normas_Programacion!D65),60/13_Normas_Programacion!D65,"")</f>
        <v/>
      </c>
      <c r="G27" s="643" t="str">
        <f aca="false">IF(ISERROR(C27/F27),"",C27/F27)</f>
        <v/>
      </c>
      <c r="H27" s="646" t="str">
        <f aca="false">IF(ISERROR(D27*F27),"",D27*F27)</f>
        <v/>
      </c>
    </row>
    <row collapsed="false" customFormat="false" customHeight="false" hidden="false" ht="14.9" outlineLevel="0" r="28">
      <c r="B28" s="641" t="str">
        <f aca="false">5_Produccion_Desagregada_09_10!C25</f>
        <v>Tratamientos de Nefrología (Hemodiálisis)</v>
      </c>
      <c r="C28" s="661" t="n">
        <f aca="false">5_Produccion_Desagregada_09_10!F25</f>
        <v>3385</v>
      </c>
      <c r="D28" s="661" t="n">
        <f aca="false">10_Distribucion_RRHH!N28</f>
        <v>99</v>
      </c>
      <c r="E28" s="644" t="n">
        <f aca="false">IF(ISERROR(C28/D28),"",C28/D28)</f>
        <v>34.1919191919192</v>
      </c>
      <c r="F28" s="662" t="str">
        <f aca="false">IF(ISNUMBER(13_Normas_Programacion!D66),60/13_Normas_Programacion!D66,"")</f>
        <v/>
      </c>
      <c r="G28" s="643" t="str">
        <f aca="false">IF(ISERROR(C28/F28),"",C28/F28)</f>
        <v/>
      </c>
      <c r="H28" s="646" t="str">
        <f aca="false">IF(ISERROR(D28*F28),"",D28*F28)</f>
        <v/>
      </c>
    </row>
    <row collapsed="false" customFormat="false" customHeight="false" hidden="false" ht="14.9" outlineLevel="0" r="29">
      <c r="B29" s="641" t="str">
        <f aca="false">5_Produccion_Desagregada_09_10!C26</f>
        <v>Tratamientos de Oncología </v>
      </c>
      <c r="C29" s="661" t="n">
        <f aca="false">5_Produccion_Desagregada_09_10!F26</f>
        <v>19106</v>
      </c>
      <c r="D29" s="661" t="n">
        <f aca="false">10_Distribucion_RRHH!N29</f>
        <v>176</v>
      </c>
      <c r="E29" s="644" t="n">
        <f aca="false">IF(ISERROR(C29/D29),"",C29/D29)</f>
        <v>108.556818181818</v>
      </c>
      <c r="F29" s="662" t="str">
        <f aca="false">IF(ISNUMBER(13_Normas_Programacion!D67),60/13_Normas_Programacion!D67,"")</f>
        <v/>
      </c>
      <c r="G29" s="643" t="str">
        <f aca="false">IF(ISERROR(C29/F29),"",C29/F29)</f>
        <v/>
      </c>
      <c r="H29" s="646" t="str">
        <f aca="false">IF(ISERROR(D29*F29),"",D29*F29)</f>
        <v/>
      </c>
    </row>
    <row collapsed="false" customFormat="false" customHeight="false" hidden="false" ht="14.9" outlineLevel="0" r="30">
      <c r="B30" s="641" t="str">
        <f aca="false">5_Produccion_Desagregada_09_10!C27</f>
        <v>Tratamientos de Hematología</v>
      </c>
      <c r="C30" s="661" t="n">
        <f aca="false">5_Produccion_Desagregada_09_10!F27</f>
        <v>394</v>
      </c>
      <c r="D30" s="661" t="n">
        <f aca="false">10_Distribucion_RRHH!N30</f>
        <v>33</v>
      </c>
      <c r="E30" s="644" t="n">
        <f aca="false">IF(ISERROR(C30/D30),"",C30/D30)</f>
        <v>11.9393939393939</v>
      </c>
      <c r="F30" s="661" t="str">
        <f aca="false">IF(ISNUMBER(13_Normas_Programacion!D68),60/13_Normas_Programacion!D68,"")</f>
        <v/>
      </c>
      <c r="G30" s="643" t="str">
        <f aca="false">IF(ISERROR(C30/F30),"",C30/F30)</f>
        <v/>
      </c>
      <c r="H30" s="646" t="str">
        <f aca="false">IF(ISERROR(D30*F30),"",D30*F30)</f>
        <v/>
      </c>
    </row>
    <row collapsed="false" customFormat="false" customHeight="false" hidden="false" ht="14.9" outlineLevel="0" r="31">
      <c r="B31" s="641" t="str">
        <f aca="false">5_Produccion_Desagregada_09_10!C28</f>
        <v>Tratamientos de Oftalmología</v>
      </c>
      <c r="C31" s="661" t="n">
        <f aca="false">5_Produccion_Desagregada_09_10!F28</f>
        <v>9665</v>
      </c>
      <c r="D31" s="661" t="n">
        <f aca="false">10_Distribucion_RRHH!N31</f>
        <v>77.66</v>
      </c>
      <c r="E31" s="644" t="n">
        <f aca="false">IF(ISERROR(C31/D31),"",C31/D31)</f>
        <v>124.452742724697</v>
      </c>
      <c r="F31" s="661" t="str">
        <f aca="false">IF(ISNUMBER(13_Normas_Programacion!D69),60/13_Normas_Programacion!D69,"")</f>
        <v/>
      </c>
      <c r="G31" s="643" t="str">
        <f aca="false">IF(ISERROR(C31/F31),"",C31/F31)</f>
        <v/>
      </c>
      <c r="H31" s="646" t="str">
        <f aca="false">IF(ISERROR(D31*F31),"",D31*F31)</f>
        <v/>
      </c>
    </row>
    <row collapsed="false" customFormat="false" customHeight="false" hidden="false" ht="14.9" outlineLevel="0" r="32">
      <c r="B32" s="641" t="str">
        <f aca="false">5_Produccion_Desagregada_09_10!C29</f>
        <v>Cirugía Ambulatoria</v>
      </c>
      <c r="C32" s="661" t="n">
        <f aca="false">5_Produccion_Desagregada_09_10!F29</f>
        <v>2463</v>
      </c>
      <c r="D32" s="661" t="n">
        <f aca="false">10_Distribucion_RRHH!N32</f>
        <v>232.32</v>
      </c>
      <c r="E32" s="644" t="n">
        <f aca="false">IF(ISERROR(C32/D32),"",C32/D32)</f>
        <v>10.6017561983471</v>
      </c>
      <c r="F32" s="661" t="str">
        <f aca="false">IF(ISNUMBER(13_Normas_Programacion!D70),60/13_Normas_Programacion!D70,"")</f>
        <v/>
      </c>
      <c r="G32" s="643" t="str">
        <f aca="false">IF(ISERROR(C32/F32),"",C32/F32)</f>
        <v/>
      </c>
      <c r="H32" s="646" t="str">
        <f aca="false">IF(ISERROR(D32*F32),"",D32*F32)</f>
        <v/>
      </c>
    </row>
    <row collapsed="false" customFormat="false" customHeight="false" hidden="false" ht="14.9" outlineLevel="0" r="33">
      <c r="B33" s="663" t="s">
        <v>731</v>
      </c>
      <c r="C33" s="664" t="n">
        <f aca="false">SUM(C27:C32)</f>
        <v>39720</v>
      </c>
      <c r="D33" s="664" t="n">
        <f aca="false">SUM(D27:D32)</f>
        <v>738.98</v>
      </c>
      <c r="E33" s="665"/>
      <c r="F33" s="666" t="str">
        <f aca="false">IF(ISERROR(AVERAGE(F27:F32)),"",AVERAGE(F27:F32))</f>
        <v/>
      </c>
      <c r="G33" s="664" t="n">
        <f aca="false">SUM(G27:G32)</f>
        <v>0</v>
      </c>
      <c r="H33" s="667"/>
    </row>
  </sheetData>
  <mergeCells count="1">
    <mergeCell ref="B1:G1"/>
  </mergeCells>
  <printOptions headings="false" gridLines="false" gridLinesSet="true" horizontalCentered="false" verticalCentered="false"/>
  <pageMargins left="0.708333333333333" right="0.157638888888889" top="0.747916666666667" bottom="0.747916666666667" header="0.511805555555555" footer="0.511805555555555"/>
  <pageSetup blackAndWhite="false" cellComments="none" copies="1" draft="false" firstPageNumber="0" fitToHeight="1" fitToWidth="1" horizontalDpi="300" orientation="landscape" pageOrder="downThenOver" paperSize="77" scale="95" useFirstPageNumber="false" usePrinterDefaults="false" verticalDpi="300"/>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sheetPr filterMode="false">
    <pageSetUpPr fitToPage="false"/>
  </sheetPr>
  <dimension ref="B1:H171"/>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Right" topLeftCell="B147" xSplit="1" ySplit="3"/>
      <selection activeCell="A1" activeCellId="0" pane="topLeft" sqref="A1"/>
      <selection activeCell="B1" activeCellId="0" pane="topRight" sqref="B1"/>
      <selection activeCell="A147" activeCellId="0" pane="bottomLeft" sqref="A147"/>
      <selection activeCell="E5" activeCellId="0" pane="bottomRight" sqref="E5"/>
    </sheetView>
  </sheetViews>
  <cols>
    <col collapsed="false" hidden="false" max="1" min="1" style="99" width="2.29411764705882"/>
    <col collapsed="false" hidden="false" max="2" min="2" style="99" width="24.243137254902"/>
    <col collapsed="false" hidden="false" max="3" min="3" style="99" width="41.4549019607843"/>
    <col collapsed="false" hidden="false" max="4" min="4" style="668" width="11.4745098039216"/>
    <col collapsed="false" hidden="false" max="6" min="5" style="99" width="13.7686274509804"/>
    <col collapsed="false" hidden="false" max="7" min="7" style="99" width="9.75294117647059"/>
    <col collapsed="false" hidden="false" max="257" min="8" style="99" width="11.4745098039216"/>
  </cols>
  <sheetData>
    <row collapsed="false" customFormat="false" customHeight="false" hidden="false" ht="14" outlineLevel="0" r="1">
      <c r="B1" s="669" t="s">
        <v>732</v>
      </c>
      <c r="C1" s="669"/>
      <c r="D1" s="669"/>
      <c r="E1" s="669"/>
      <c r="F1" s="669"/>
      <c r="G1" s="670" t="s">
        <v>733</v>
      </c>
      <c r="H1" s="671" t="n">
        <v>12</v>
      </c>
    </row>
    <row collapsed="false" customFormat="false" customHeight="false" hidden="false" ht="35.05" outlineLevel="0" r="3">
      <c r="B3" s="613" t="s">
        <v>734</v>
      </c>
      <c r="C3" s="614" t="s">
        <v>654</v>
      </c>
      <c r="D3" s="614" t="s">
        <v>489</v>
      </c>
      <c r="E3" s="672" t="s">
        <v>735</v>
      </c>
      <c r="F3" s="672" t="s">
        <v>736</v>
      </c>
      <c r="G3" s="672" t="s">
        <v>737</v>
      </c>
      <c r="H3" s="673" t="s">
        <v>738</v>
      </c>
    </row>
    <row collapsed="false" customFormat="false" customHeight="false" hidden="false" ht="14" outlineLevel="0" r="4">
      <c r="B4" s="674" t="str">
        <f aca="false">5_Produccion_Desagregada_09_10!$C$35</f>
        <v>Medicina Interna </v>
      </c>
      <c r="C4" s="675" t="s">
        <v>739</v>
      </c>
      <c r="D4" s="676" t="n">
        <f aca="false">8_Inform_Camas_Quirof_Consul!E7</f>
        <v>26</v>
      </c>
      <c r="E4" s="677"/>
      <c r="F4" s="677"/>
      <c r="G4" s="678"/>
      <c r="H4" s="679"/>
    </row>
    <row collapsed="false" customFormat="false" customHeight="false" hidden="false" ht="14" outlineLevel="0" r="5">
      <c r="B5" s="680" t="str">
        <f aca="false">B4</f>
        <v>Medicina Interna </v>
      </c>
      <c r="C5" s="675" t="s">
        <v>740</v>
      </c>
      <c r="D5" s="681" t="n">
        <v>1427</v>
      </c>
      <c r="E5" s="678" t="str">
        <f aca="false">13_Normas_Programacion!D27</f>
        <v>N/D</v>
      </c>
      <c r="F5" s="682" t="e">
        <f aca="false">D5*E5/60</f>
        <v>#VALUE!</v>
      </c>
      <c r="G5" s="678"/>
      <c r="H5" s="679"/>
    </row>
    <row collapsed="false" customFormat="false" customHeight="false" hidden="false" ht="14" outlineLevel="0" r="6">
      <c r="B6" s="680" t="str">
        <f aca="false">B4</f>
        <v>Medicina Interna </v>
      </c>
      <c r="C6" s="675" t="s">
        <v>172</v>
      </c>
      <c r="D6" s="683" t="n">
        <f aca="false">5_Produccion_Desagregada_09_10!F35</f>
        <v>1106</v>
      </c>
      <c r="E6" s="684"/>
      <c r="F6" s="677"/>
      <c r="G6" s="685" t="n">
        <f aca="false">IF(ISERROR(D4*G11),"",D4*G11)</f>
        <v>839.865809337434</v>
      </c>
      <c r="H6" s="686" t="n">
        <f aca="false">IF(ISERROR(D6/G6-1),"",D6/G6-1)</f>
        <v>0.316877038812329</v>
      </c>
    </row>
    <row collapsed="false" customFormat="false" customHeight="false" hidden="false" ht="14" outlineLevel="0" r="7">
      <c r="B7" s="680" t="str">
        <f aca="false">B4</f>
        <v>Medicina Interna </v>
      </c>
      <c r="C7" s="675" t="s">
        <v>741</v>
      </c>
      <c r="D7" s="687" t="n">
        <f aca="false">IF(ISERROR(D5/D6),"",(D5/D6))</f>
        <v>1.29023508137432</v>
      </c>
      <c r="E7" s="684"/>
      <c r="F7" s="677"/>
      <c r="G7" s="682"/>
      <c r="H7" s="688"/>
    </row>
    <row collapsed="false" customFormat="false" customHeight="false" hidden="false" ht="14" outlineLevel="0" r="8">
      <c r="B8" s="680" t="str">
        <f aca="false">B4</f>
        <v>Medicina Interna </v>
      </c>
      <c r="C8" s="675" t="s">
        <v>742</v>
      </c>
      <c r="D8" s="689" t="n">
        <f aca="false">IF(ISERROR(D12/D13),"",(D12/D13))</f>
        <v>0.879346680716544</v>
      </c>
      <c r="E8" s="677"/>
      <c r="F8" s="677"/>
      <c r="G8" s="690" t="inlineStr">
        <f aca="false">D8</f>
        <is>
          <t/>
        </is>
      </c>
      <c r="H8" s="688" t="n">
        <f aca="false">IF(ISERROR(D8/G8-1),"",D8/G8-1)</f>
        <v>0</v>
      </c>
    </row>
    <row collapsed="false" customFormat="false" customHeight="false" hidden="false" ht="14" outlineLevel="0" r="9">
      <c r="B9" s="680" t="str">
        <f aca="false">B4</f>
        <v>Medicina Interna </v>
      </c>
      <c r="C9" s="675" t="s">
        <v>743</v>
      </c>
      <c r="D9" s="687" t="n">
        <f aca="false">IF(ISERROR(D14/D6),"",ROUND(D14/D6,1))</f>
        <v>9.8</v>
      </c>
      <c r="E9" s="677"/>
      <c r="F9" s="677"/>
      <c r="G9" s="687" t="n">
        <f aca="false">D9</f>
        <v>9.8</v>
      </c>
      <c r="H9" s="688" t="n">
        <f aca="false">IF(ISERROR(D9/G9-1),"",D9/G9-1)</f>
        <v>0</v>
      </c>
    </row>
    <row collapsed="false" customFormat="false" customHeight="false" hidden="false" ht="14" outlineLevel="0" r="10">
      <c r="B10" s="680" t="str">
        <f aca="false">B4</f>
        <v>Medicina Interna </v>
      </c>
      <c r="C10" s="675" t="s">
        <v>744</v>
      </c>
      <c r="D10" s="687" t="n">
        <f aca="false">IF(ISERROR((D13-D12)/D6),"",IF(D13-D12&lt;0,0,(D13-D12)/D6))</f>
        <v>1.03526220614828</v>
      </c>
      <c r="E10" s="677"/>
      <c r="F10" s="677"/>
      <c r="G10" s="687" t="n">
        <f aca="false">D10</f>
        <v>1.03526220614828</v>
      </c>
      <c r="H10" s="688" t="n">
        <f aca="false">IF(ISERROR(D10/G10-1),"",D10/G10-1)</f>
        <v>0</v>
      </c>
    </row>
    <row collapsed="false" customFormat="false" customHeight="false" hidden="false" ht="14" outlineLevel="0" r="11">
      <c r="B11" s="680" t="str">
        <f aca="false">B4</f>
        <v>Medicina Interna </v>
      </c>
      <c r="C11" s="675" t="s">
        <v>745</v>
      </c>
      <c r="D11" s="678" t="n">
        <f aca="false">IF(ISERROR(D6/D4),"",ROUND(D6/D4,1))</f>
        <v>42.5</v>
      </c>
      <c r="E11" s="677"/>
      <c r="F11" s="677"/>
      <c r="G11" s="691" t="n">
        <f aca="false">IF(ISERROR((30/G9)*G8),"",(30/G9)*G8*$H$1)</f>
        <v>32.3025311283628</v>
      </c>
      <c r="H11" s="688" t="n">
        <f aca="false">IF(ISERROR(D11/G11-1),"",D11/G11-1)</f>
        <v>0.315686372411957</v>
      </c>
    </row>
    <row collapsed="false" customFormat="false" customHeight="false" hidden="false" ht="14" outlineLevel="0" r="12">
      <c r="B12" s="680" t="str">
        <f aca="false">B4</f>
        <v>Medicina Interna </v>
      </c>
      <c r="C12" s="675" t="s">
        <v>746</v>
      </c>
      <c r="D12" s="681" t="n">
        <v>8345</v>
      </c>
      <c r="E12" s="677"/>
      <c r="F12" s="677"/>
      <c r="G12" s="678"/>
      <c r="H12" s="679"/>
    </row>
    <row collapsed="false" customFormat="false" customHeight="false" hidden="false" ht="14" outlineLevel="0" r="13">
      <c r="B13" s="680" t="str">
        <f aca="false">B4</f>
        <v>Medicina Interna </v>
      </c>
      <c r="C13" s="675" t="s">
        <v>747</v>
      </c>
      <c r="D13" s="692" t="n">
        <f aca="false">D4*13_Normas_Programacion!$C$4</f>
        <v>9490</v>
      </c>
      <c r="E13" s="677"/>
      <c r="F13" s="677"/>
      <c r="G13" s="678"/>
      <c r="H13" s="679"/>
    </row>
    <row collapsed="false" customFormat="false" customHeight="false" hidden="false" ht="14" outlineLevel="0" r="14">
      <c r="B14" s="680" t="str">
        <f aca="false">B4</f>
        <v>Medicina Interna </v>
      </c>
      <c r="C14" s="675" t="s">
        <v>748</v>
      </c>
      <c r="D14" s="693" t="n">
        <v>10877</v>
      </c>
      <c r="E14" s="677"/>
      <c r="F14" s="677"/>
      <c r="G14" s="678"/>
      <c r="H14" s="679"/>
    </row>
    <row collapsed="false" customFormat="false" customHeight="false" hidden="false" ht="14" outlineLevel="0" r="15">
      <c r="B15" s="680" t="str">
        <f aca="false">B4</f>
        <v>Medicina Interna </v>
      </c>
      <c r="C15" s="675" t="s">
        <v>749</v>
      </c>
      <c r="D15" s="694" t="n">
        <f aca="false">D12-D5</f>
        <v>6918</v>
      </c>
      <c r="E15" s="678" t="n">
        <f aca="false">13_Normas_Programacion!D28</f>
        <v>20</v>
      </c>
      <c r="F15" s="694" t="n">
        <f aca="false">D15*E15/60</f>
        <v>2306</v>
      </c>
      <c r="G15" s="678"/>
      <c r="H15" s="679"/>
    </row>
    <row collapsed="false" customFormat="false" customHeight="false" hidden="false" ht="14" outlineLevel="0" r="16">
      <c r="B16" s="674" t="str">
        <f aca="false">5_Produccion_Desagregada_09_10!$C$36</f>
        <v>Infectología</v>
      </c>
      <c r="C16" s="675" t="s">
        <v>739</v>
      </c>
      <c r="D16" s="676" t="n">
        <f aca="false">8_Inform_Camas_Quirof_Consul!E8</f>
        <v>45</v>
      </c>
      <c r="E16" s="677"/>
      <c r="F16" s="677"/>
      <c r="G16" s="678"/>
      <c r="H16" s="679"/>
    </row>
    <row collapsed="false" customFormat="false" customHeight="false" hidden="false" ht="14" outlineLevel="0" r="17">
      <c r="B17" s="680" t="str">
        <f aca="false">B16</f>
        <v>Infectología</v>
      </c>
      <c r="C17" s="675" t="s">
        <v>740</v>
      </c>
      <c r="D17" s="681" t="n">
        <v>2431</v>
      </c>
      <c r="E17" s="678" t="str">
        <f aca="false">13_Normas_Programacion!D29</f>
        <v>N/D</v>
      </c>
      <c r="F17" s="682" t="e">
        <f aca="false">D17*E17/60</f>
        <v>#VALUE!</v>
      </c>
      <c r="G17" s="678"/>
      <c r="H17" s="679"/>
    </row>
    <row collapsed="false" customFormat="false" customHeight="false" hidden="false" ht="14" outlineLevel="0" r="18">
      <c r="B18" s="680" t="str">
        <f aca="false">B16</f>
        <v>Infectología</v>
      </c>
      <c r="C18" s="675" t="s">
        <v>172</v>
      </c>
      <c r="D18" s="683" t="n">
        <f aca="false">5_Produccion_Desagregada_09_10!F36</f>
        <v>2282</v>
      </c>
      <c r="E18" s="677"/>
      <c r="F18" s="677"/>
      <c r="G18" s="685" t="n">
        <f aca="false">IF(ISERROR(D16*G23),"",D16*G23)</f>
        <v>1695.47945205479</v>
      </c>
      <c r="H18" s="686" t="n">
        <f aca="false">IF(ISERROR(D18/G18-1),"",D18/G18-1)</f>
        <v>0.345931970590611</v>
      </c>
    </row>
    <row collapsed="false" customFormat="false" customHeight="false" hidden="false" ht="14" outlineLevel="0" r="19">
      <c r="B19" s="680" t="str">
        <f aca="false">B16</f>
        <v>Infectología</v>
      </c>
      <c r="C19" s="675" t="s">
        <v>741</v>
      </c>
      <c r="D19" s="687" t="n">
        <f aca="false">IF(ISERROR(D17/D18),"",(D17/D18))</f>
        <v>1.06529360210342</v>
      </c>
      <c r="E19" s="677"/>
      <c r="F19" s="677"/>
      <c r="G19" s="682"/>
      <c r="H19" s="688"/>
    </row>
    <row collapsed="false" customFormat="false" customHeight="false" hidden="false" ht="14" outlineLevel="0" r="20">
      <c r="B20" s="680" t="str">
        <f aca="false">B16</f>
        <v>Infectología</v>
      </c>
      <c r="C20" s="675" t="s">
        <v>742</v>
      </c>
      <c r="D20" s="689" t="n">
        <f aca="false">IF(ISERROR(D24/D25),"",(D24/D25))</f>
        <v>0.753546423135464</v>
      </c>
      <c r="E20" s="677"/>
      <c r="F20" s="677"/>
      <c r="G20" s="690" t="inlineStr">
        <f aca="false">D20</f>
        <is>
          <t/>
        </is>
      </c>
      <c r="H20" s="688" t="n">
        <f aca="false">IF(ISERROR(D20/G20-1),"",D20/G20-1)</f>
        <v>0</v>
      </c>
    </row>
    <row collapsed="false" customFormat="false" customHeight="false" hidden="false" ht="14" outlineLevel="0" r="21">
      <c r="B21" s="680" t="str">
        <f aca="false">B16</f>
        <v>Infectología</v>
      </c>
      <c r="C21" s="675" t="s">
        <v>743</v>
      </c>
      <c r="D21" s="691" t="n">
        <f aca="false">IF(ISERROR(D26/D18),"",ROUND(D26/D18,1))</f>
        <v>7.2</v>
      </c>
      <c r="E21" s="677"/>
      <c r="F21" s="677"/>
      <c r="G21" s="687" t="n">
        <f aca="false">D21</f>
        <v>7.2</v>
      </c>
      <c r="H21" s="688" t="n">
        <f aca="false">IF(ISERROR(D21/G21-1),"",D21/G21-1)</f>
        <v>0</v>
      </c>
    </row>
    <row collapsed="false" customFormat="false" customHeight="false" hidden="false" ht="14" outlineLevel="0" r="22">
      <c r="B22" s="680" t="str">
        <f aca="false">B16</f>
        <v>Infectología</v>
      </c>
      <c r="C22" s="675" t="s">
        <v>744</v>
      </c>
      <c r="D22" s="691" t="n">
        <f aca="false">IF(ISERROR((D25-D24)/D18),"",IF(D25-D24&lt;0,0,(D25-D24)/D18))</f>
        <v>1.77388255915863</v>
      </c>
      <c r="E22" s="677"/>
      <c r="F22" s="677"/>
      <c r="G22" s="687" t="n">
        <f aca="false">D22</f>
        <v>1.77388255915863</v>
      </c>
      <c r="H22" s="688" t="n">
        <f aca="false">IF(ISERROR(D22/G22-1),"",D22/G22-1)</f>
        <v>0</v>
      </c>
    </row>
    <row collapsed="false" customFormat="false" customHeight="false" hidden="false" ht="14" outlineLevel="0" r="23">
      <c r="B23" s="680" t="str">
        <f aca="false">B16</f>
        <v>Infectología</v>
      </c>
      <c r="C23" s="675" t="s">
        <v>333</v>
      </c>
      <c r="D23" s="678" t="n">
        <f aca="false">IF(ISERROR(D18/D16),"",ROUND(D18/D16,1))</f>
        <v>50.7</v>
      </c>
      <c r="E23" s="677"/>
      <c r="F23" s="677"/>
      <c r="G23" s="691" t="n">
        <f aca="false">IF(ISERROR((30/G21)*G20),"",(30/G21)*G20*$H$1)</f>
        <v>37.6773211567732</v>
      </c>
      <c r="H23" s="688" t="n">
        <f aca="false">IF(ISERROR(D23/G23-1),"",D23/G23-1)</f>
        <v>0.345637068756564</v>
      </c>
    </row>
    <row collapsed="false" customFormat="false" customHeight="false" hidden="false" ht="14" outlineLevel="0" r="24">
      <c r="B24" s="680" t="str">
        <f aca="false">B16</f>
        <v>Infectología</v>
      </c>
      <c r="C24" s="675" t="s">
        <v>750</v>
      </c>
      <c r="D24" s="681" t="n">
        <v>12377</v>
      </c>
      <c r="E24" s="677"/>
      <c r="F24" s="677"/>
      <c r="G24" s="678"/>
      <c r="H24" s="679"/>
    </row>
    <row collapsed="false" customFormat="false" customHeight="false" hidden="false" ht="14" outlineLevel="0" r="25">
      <c r="B25" s="680" t="str">
        <f aca="false">B16</f>
        <v>Infectología</v>
      </c>
      <c r="C25" s="675" t="s">
        <v>747</v>
      </c>
      <c r="D25" s="692" t="n">
        <f aca="false">D16*13_Normas_Programacion!$C$4</f>
        <v>16425</v>
      </c>
      <c r="E25" s="677"/>
      <c r="F25" s="677"/>
      <c r="G25" s="678"/>
      <c r="H25" s="679"/>
    </row>
    <row collapsed="false" customFormat="false" customHeight="false" hidden="false" ht="14" outlineLevel="0" r="26">
      <c r="B26" s="680" t="str">
        <f aca="false">B16</f>
        <v>Infectología</v>
      </c>
      <c r="C26" s="675" t="s">
        <v>748</v>
      </c>
      <c r="D26" s="693" t="n">
        <v>16323</v>
      </c>
      <c r="E26" s="677"/>
      <c r="F26" s="677"/>
      <c r="G26" s="678"/>
      <c r="H26" s="679"/>
    </row>
    <row collapsed="false" customFormat="false" customHeight="false" hidden="false" ht="14" outlineLevel="0" r="27">
      <c r="B27" s="680" t="str">
        <f aca="false">B16</f>
        <v>Infectología</v>
      </c>
      <c r="C27" s="675" t="s">
        <v>751</v>
      </c>
      <c r="D27" s="694" t="n">
        <f aca="false">D24-D17</f>
        <v>9946</v>
      </c>
      <c r="E27" s="678" t="n">
        <f aca="false">13_Normas_Programacion!D30</f>
        <v>20</v>
      </c>
      <c r="F27" s="694" t="n">
        <f aca="false">D27*E27/60</f>
        <v>3315.33333333333</v>
      </c>
      <c r="G27" s="678"/>
      <c r="H27" s="679"/>
    </row>
    <row collapsed="false" customFormat="false" customHeight="false" hidden="false" ht="14" outlineLevel="0" r="28">
      <c r="B28" s="674" t="str">
        <f aca="false">5_Produccion_Desagregada_09_10!C37</f>
        <v>Nefrología</v>
      </c>
      <c r="C28" s="675" t="s">
        <v>739</v>
      </c>
      <c r="D28" s="676" t="n">
        <f aca="false">8_Inform_Camas_Quirof_Consul!E9</f>
        <v>9</v>
      </c>
      <c r="E28" s="677"/>
      <c r="F28" s="677"/>
      <c r="G28" s="678"/>
      <c r="H28" s="679"/>
    </row>
    <row collapsed="false" customFormat="false" customHeight="false" hidden="false" ht="14" outlineLevel="0" r="29">
      <c r="B29" s="680" t="str">
        <f aca="false">B28</f>
        <v>Nefrología</v>
      </c>
      <c r="C29" s="675" t="s">
        <v>740</v>
      </c>
      <c r="D29" s="681" t="n">
        <v>262</v>
      </c>
      <c r="E29" s="678" t="str">
        <f aca="false">13_Normas_Programacion!D31</f>
        <v>N/D</v>
      </c>
      <c r="F29" s="682" t="e">
        <f aca="false">D29*E29/60</f>
        <v>#VALUE!</v>
      </c>
      <c r="G29" s="678"/>
      <c r="H29" s="679"/>
    </row>
    <row collapsed="false" customFormat="false" customHeight="false" hidden="false" ht="14" outlineLevel="0" r="30">
      <c r="B30" s="680" t="str">
        <f aca="false">B28</f>
        <v>Nefrología</v>
      </c>
      <c r="C30" s="675" t="s">
        <v>172</v>
      </c>
      <c r="D30" s="683" t="n">
        <f aca="false">5_Produccion_Desagregada_09_10!F37</f>
        <v>323</v>
      </c>
      <c r="E30" s="677"/>
      <c r="F30" s="677"/>
      <c r="G30" s="685" t="n">
        <f aca="false">IF(ISERROR(D28*G35),"",D28*G35)</f>
        <v>244.877610599596</v>
      </c>
      <c r="H30" s="686" t="n">
        <f aca="false">IF(ISERROR(D30/G30-1),"",D30/G30-1)</f>
        <v>0.319026264627123</v>
      </c>
    </row>
    <row collapsed="false" customFormat="false" customHeight="false" hidden="false" ht="14" outlineLevel="0" r="31">
      <c r="B31" s="680" t="str">
        <f aca="false">B28</f>
        <v>Nefrología</v>
      </c>
      <c r="C31" s="675" t="s">
        <v>741</v>
      </c>
      <c r="D31" s="687" t="n">
        <f aca="false">IF(ISERROR(D29/D30),"",(D29/D30))</f>
        <v>0.811145510835913</v>
      </c>
      <c r="E31" s="677"/>
      <c r="F31" s="677"/>
      <c r="G31" s="682"/>
      <c r="H31" s="688"/>
    </row>
    <row collapsed="false" customFormat="false" customHeight="false" hidden="false" ht="14" outlineLevel="0" r="32">
      <c r="B32" s="680" t="str">
        <f aca="false">B28</f>
        <v>Nefrología</v>
      </c>
      <c r="C32" s="675" t="s">
        <v>742</v>
      </c>
      <c r="D32" s="689" t="n">
        <f aca="false">IF(ISERROR(D36/D37),"",(D36/D37))</f>
        <v>0.9220700152207</v>
      </c>
      <c r="E32" s="677"/>
      <c r="F32" s="677"/>
      <c r="G32" s="690" t="inlineStr">
        <f aca="false">D32</f>
        <is>
          <t/>
        </is>
      </c>
      <c r="H32" s="688" t="n">
        <f aca="false">IF(ISERROR(D32/G32-1),"",D32/G32-1)</f>
        <v>0</v>
      </c>
    </row>
    <row collapsed="false" customFormat="false" customHeight="false" hidden="false" ht="14" outlineLevel="0" r="33">
      <c r="B33" s="680" t="str">
        <f aca="false">B28</f>
        <v>Nefrología</v>
      </c>
      <c r="C33" s="675" t="s">
        <v>743</v>
      </c>
      <c r="D33" s="678" t="n">
        <f aca="false">IF(ISERROR(D38/D30),"",ROUND(D38/D30,1))</f>
        <v>12.2</v>
      </c>
      <c r="E33" s="677"/>
      <c r="F33" s="677"/>
      <c r="G33" s="687" t="n">
        <f aca="false">D33</f>
        <v>12.2</v>
      </c>
      <c r="H33" s="688" t="n">
        <f aca="false">IF(ISERROR(D33/G33-1),"",D33/G33-1)</f>
        <v>0</v>
      </c>
    </row>
    <row collapsed="false" customFormat="false" customHeight="false" hidden="false" ht="14" outlineLevel="0" r="34">
      <c r="B34" s="680" t="str">
        <f aca="false">B28</f>
        <v>Nefrología</v>
      </c>
      <c r="C34" s="675" t="s">
        <v>744</v>
      </c>
      <c r="D34" s="691" t="n">
        <f aca="false">IF(ISERROR((D37-D36)/D30),"",IF(D37-D36&lt;0,0,(D37-D36)/D30))</f>
        <v>0.792569659442724</v>
      </c>
      <c r="E34" s="677"/>
      <c r="F34" s="677"/>
      <c r="G34" s="687" t="n">
        <f aca="false">D34</f>
        <v>0.792569659442724</v>
      </c>
      <c r="H34" s="688" t="n">
        <f aca="false">IF(ISERROR(D34/G34-1),"",D34/G34-1)</f>
        <v>0</v>
      </c>
    </row>
    <row collapsed="false" customFormat="false" customHeight="false" hidden="false" ht="14" outlineLevel="0" r="35">
      <c r="B35" s="680" t="str">
        <f aca="false">B28</f>
        <v>Nefrología</v>
      </c>
      <c r="C35" s="675" t="s">
        <v>333</v>
      </c>
      <c r="D35" s="678" t="n">
        <f aca="false">IF(ISERROR(D30/D28),"",ROUND(D30/D28,1))</f>
        <v>35.9</v>
      </c>
      <c r="E35" s="677"/>
      <c r="F35" s="677"/>
      <c r="G35" s="691" t="n">
        <f aca="false">IF(ISERROR((30/G33)*G32),"",(30/G33)*G32*$H$1)</f>
        <v>27.2086233999551</v>
      </c>
      <c r="H35" s="688" t="n">
        <f aca="false">IF(ISERROR(D35/G35-1),"",D35/G35-1)</f>
        <v>0.319434631891713</v>
      </c>
    </row>
    <row collapsed="false" customFormat="false" customHeight="false" hidden="false" ht="14" outlineLevel="0" r="36">
      <c r="B36" s="680" t="str">
        <f aca="false">B28</f>
        <v>Nefrología</v>
      </c>
      <c r="C36" s="675" t="s">
        <v>750</v>
      </c>
      <c r="D36" s="681" t="n">
        <v>3029</v>
      </c>
      <c r="E36" s="677"/>
      <c r="F36" s="677"/>
      <c r="G36" s="678"/>
      <c r="H36" s="679"/>
    </row>
    <row collapsed="false" customFormat="false" customHeight="false" hidden="false" ht="14" outlineLevel="0" r="37">
      <c r="B37" s="680" t="str">
        <f aca="false">B28</f>
        <v>Nefrología</v>
      </c>
      <c r="C37" s="675" t="s">
        <v>747</v>
      </c>
      <c r="D37" s="692" t="n">
        <f aca="false">D28*13_Normas_Programacion!$C$4</f>
        <v>3285</v>
      </c>
      <c r="E37" s="677"/>
      <c r="F37" s="677"/>
      <c r="G37" s="678"/>
      <c r="H37" s="679"/>
    </row>
    <row collapsed="false" customFormat="false" customHeight="false" hidden="false" ht="14" outlineLevel="0" r="38">
      <c r="B38" s="680" t="str">
        <f aca="false">B28</f>
        <v>Nefrología</v>
      </c>
      <c r="C38" s="675" t="s">
        <v>748</v>
      </c>
      <c r="D38" s="693" t="n">
        <v>3937</v>
      </c>
      <c r="E38" s="677"/>
      <c r="F38" s="677"/>
      <c r="G38" s="678"/>
      <c r="H38" s="679"/>
    </row>
    <row collapsed="false" customFormat="false" customHeight="false" hidden="false" ht="14" outlineLevel="0" r="39">
      <c r="B39" s="680" t="str">
        <f aca="false">B28</f>
        <v>Nefrología</v>
      </c>
      <c r="C39" s="675" t="s">
        <v>751</v>
      </c>
      <c r="D39" s="694" t="n">
        <f aca="false">D36-D29</f>
        <v>2767</v>
      </c>
      <c r="E39" s="678" t="n">
        <f aca="false">13_Normas_Programacion!D32</f>
        <v>20</v>
      </c>
      <c r="F39" s="694" t="n">
        <f aca="false">D39*E39/60</f>
        <v>922.333333333333</v>
      </c>
      <c r="G39" s="678"/>
      <c r="H39" s="679"/>
    </row>
    <row collapsed="false" customFormat="false" customHeight="false" hidden="false" ht="14" outlineLevel="0" r="40">
      <c r="B40" s="674" t="str">
        <f aca="false">5_Produccion_Desagregada_09_10!C38</f>
        <v>Hematología</v>
      </c>
      <c r="C40" s="675" t="s">
        <v>739</v>
      </c>
      <c r="D40" s="676" t="n">
        <f aca="false">8_Inform_Camas_Quirof_Consul!E10</f>
        <v>18</v>
      </c>
      <c r="E40" s="677"/>
      <c r="F40" s="677"/>
      <c r="G40" s="678"/>
      <c r="H40" s="679"/>
    </row>
    <row collapsed="false" customFormat="false" customHeight="false" hidden="false" ht="14" outlineLevel="0" r="41">
      <c r="B41" s="680" t="str">
        <f aca="false">B40</f>
        <v>Hematología</v>
      </c>
      <c r="C41" s="675" t="s">
        <v>740</v>
      </c>
      <c r="D41" s="681" t="n">
        <v>737</v>
      </c>
      <c r="E41" s="678" t="str">
        <f aca="false">13_Normas_Programacion!D33</f>
        <v>N/D</v>
      </c>
      <c r="F41" s="682" t="e">
        <f aca="false">D41*E41/60</f>
        <v>#VALUE!</v>
      </c>
      <c r="G41" s="678"/>
      <c r="H41" s="679"/>
    </row>
    <row collapsed="false" customFormat="false" customHeight="false" hidden="false" ht="14" outlineLevel="0" r="42">
      <c r="B42" s="680" t="str">
        <f aca="false">B40</f>
        <v>Hematología</v>
      </c>
      <c r="C42" s="675" t="s">
        <v>172</v>
      </c>
      <c r="D42" s="683" t="n">
        <f aca="false">5_Produccion_Desagregada_09_10!F38</f>
        <v>958</v>
      </c>
      <c r="E42" s="677"/>
      <c r="F42" s="677"/>
      <c r="G42" s="685" t="n">
        <f aca="false">IF(ISERROR(D40*G47),"",D40*G47)</f>
        <v>816.301369863014</v>
      </c>
      <c r="H42" s="686" t="n">
        <f aca="false">IF(ISERROR(D42/G42-1),"",D42/G42-1)</f>
        <v>0.17358617217654</v>
      </c>
    </row>
    <row collapsed="false" customFormat="false" customHeight="false" hidden="false" ht="14" outlineLevel="0" r="43">
      <c r="B43" s="680" t="str">
        <f aca="false">B40</f>
        <v>Hematología</v>
      </c>
      <c r="C43" s="675" t="s">
        <v>741</v>
      </c>
      <c r="D43" s="687" t="n">
        <f aca="false">IF(ISERROR(D41/D42),"",(D41/D42))</f>
        <v>0.769311064718163</v>
      </c>
      <c r="E43" s="677"/>
      <c r="F43" s="677"/>
      <c r="G43" s="682"/>
      <c r="H43" s="688"/>
    </row>
    <row collapsed="false" customFormat="false" customHeight="false" hidden="false" ht="14" outlineLevel="0" r="44">
      <c r="B44" s="680" t="str">
        <f aca="false">B40</f>
        <v>Hematología</v>
      </c>
      <c r="C44" s="675" t="s">
        <v>742</v>
      </c>
      <c r="D44" s="689" t="n">
        <f aca="false">IF(ISERROR(D48/D49),"",(D48/D49))</f>
        <v>0.907001522070015</v>
      </c>
      <c r="E44" s="677"/>
      <c r="F44" s="677"/>
      <c r="G44" s="690" t="inlineStr">
        <f aca="false">D44</f>
        <is>
          <t/>
        </is>
      </c>
      <c r="H44" s="688" t="n">
        <f aca="false">IF(ISERROR(D44/G44-1),"",D44/G44-1)</f>
        <v>0</v>
      </c>
    </row>
    <row collapsed="false" customFormat="false" customHeight="false" hidden="false" ht="14" outlineLevel="0" r="45">
      <c r="B45" s="680" t="str">
        <f aca="false">B40</f>
        <v>Hematología</v>
      </c>
      <c r="C45" s="675" t="s">
        <v>743</v>
      </c>
      <c r="D45" s="678" t="n">
        <f aca="false">IF(ISERROR(D50/D42),"",ROUND(D50/D42,1))</f>
        <v>7.2</v>
      </c>
      <c r="E45" s="677"/>
      <c r="F45" s="677"/>
      <c r="G45" s="687" t="n">
        <f aca="false">D45</f>
        <v>7.2</v>
      </c>
      <c r="H45" s="688" t="n">
        <f aca="false">IF(ISERROR(D45/G45-1),"",D45/G45-1)</f>
        <v>0</v>
      </c>
    </row>
    <row collapsed="false" customFormat="false" customHeight="false" hidden="false" ht="14" outlineLevel="0" r="46">
      <c r="B46" s="680" t="str">
        <f aca="false">B40</f>
        <v>Hematología</v>
      </c>
      <c r="C46" s="675" t="s">
        <v>744</v>
      </c>
      <c r="D46" s="691" t="n">
        <f aca="false">IF(ISERROR((D49-D48)/D42),"",IF(D49-D48&lt;0,0,(D49-D48)/D42))</f>
        <v>0.637787056367432</v>
      </c>
      <c r="E46" s="677"/>
      <c r="F46" s="677"/>
      <c r="G46" s="687" t="n">
        <f aca="false">D46</f>
        <v>0.637787056367432</v>
      </c>
      <c r="H46" s="688" t="n">
        <f aca="false">IF(ISERROR(D46/G46-1),"",D46/G46-1)</f>
        <v>0</v>
      </c>
    </row>
    <row collapsed="false" customFormat="false" customHeight="false" hidden="false" ht="14" outlineLevel="0" r="47">
      <c r="B47" s="680" t="str">
        <f aca="false">B40</f>
        <v>Hematología</v>
      </c>
      <c r="C47" s="675" t="s">
        <v>333</v>
      </c>
      <c r="D47" s="678" t="n">
        <f aca="false">IF(ISERROR(D42/D40),"",ROUND(D42/D40,1))</f>
        <v>53.2</v>
      </c>
      <c r="E47" s="677"/>
      <c r="F47" s="677"/>
      <c r="G47" s="691" t="n">
        <f aca="false">IF(ISERROR((30/G45)*G44),"",(30/G45)*G44*$H$1)</f>
        <v>45.3500761035008</v>
      </c>
      <c r="H47" s="688" t="n">
        <f aca="false">IF(ISERROR(D47/G47-1),"",D47/G47-1)</f>
        <v>0.173096157073334</v>
      </c>
    </row>
    <row collapsed="false" customFormat="false" customHeight="false" hidden="false" ht="14" outlineLevel="0" r="48">
      <c r="B48" s="680" t="str">
        <f aca="false">B40</f>
        <v>Hematología</v>
      </c>
      <c r="C48" s="675" t="s">
        <v>750</v>
      </c>
      <c r="D48" s="681" t="n">
        <v>5959</v>
      </c>
      <c r="E48" s="677"/>
      <c r="F48" s="677"/>
      <c r="G48" s="678"/>
      <c r="H48" s="679"/>
    </row>
    <row collapsed="false" customFormat="false" customHeight="false" hidden="false" ht="14" outlineLevel="0" r="49">
      <c r="B49" s="680" t="str">
        <f aca="false">B40</f>
        <v>Hematología</v>
      </c>
      <c r="C49" s="675" t="s">
        <v>747</v>
      </c>
      <c r="D49" s="692" t="n">
        <f aca="false">D40*13_Normas_Programacion!$C$4</f>
        <v>6570</v>
      </c>
      <c r="E49" s="677"/>
      <c r="F49" s="677"/>
      <c r="G49" s="678"/>
      <c r="H49" s="679"/>
    </row>
    <row collapsed="false" customFormat="false" customHeight="false" hidden="false" ht="14" outlineLevel="0" r="50">
      <c r="B50" s="680" t="str">
        <f aca="false">B40</f>
        <v>Hematología</v>
      </c>
      <c r="C50" s="675" t="s">
        <v>748</v>
      </c>
      <c r="D50" s="693" t="n">
        <v>6893</v>
      </c>
      <c r="E50" s="677"/>
      <c r="F50" s="677"/>
      <c r="G50" s="678"/>
      <c r="H50" s="679"/>
    </row>
    <row collapsed="false" customFormat="false" customHeight="false" hidden="false" ht="14" outlineLevel="0" r="51">
      <c r="B51" s="680" t="str">
        <f aca="false">B40</f>
        <v>Hematología</v>
      </c>
      <c r="C51" s="675" t="s">
        <v>751</v>
      </c>
      <c r="D51" s="694" t="n">
        <f aca="false">D48-D41</f>
        <v>5222</v>
      </c>
      <c r="E51" s="678" t="n">
        <f aca="false">13_Normas_Programacion!D34</f>
        <v>20</v>
      </c>
      <c r="F51" s="694" t="n">
        <f aca="false">D51*E51/60</f>
        <v>1740.66666666667</v>
      </c>
      <c r="G51" s="678"/>
      <c r="H51" s="679"/>
    </row>
    <row collapsed="false" customFormat="false" customHeight="false" hidden="false" ht="14" outlineLevel="0" r="52">
      <c r="B52" s="674" t="str">
        <f aca="false">5_Produccion_Desagregada_09_10!C39</f>
        <v>Oncología</v>
      </c>
      <c r="C52" s="675" t="s">
        <v>739</v>
      </c>
      <c r="D52" s="676" t="n">
        <f aca="false">8_Inform_Camas_Quirof_Consul!E11</f>
        <v>24</v>
      </c>
      <c r="E52" s="677"/>
      <c r="F52" s="677"/>
      <c r="G52" s="678"/>
      <c r="H52" s="679"/>
    </row>
    <row collapsed="false" customFormat="false" customHeight="false" hidden="false" ht="14" outlineLevel="0" r="53">
      <c r="B53" s="680" t="str">
        <f aca="false">B52</f>
        <v>Oncología</v>
      </c>
      <c r="C53" s="675" t="s">
        <v>740</v>
      </c>
      <c r="D53" s="681" t="n">
        <v>544</v>
      </c>
      <c r="E53" s="678" t="str">
        <f aca="false">13_Normas_Programacion!D35</f>
        <v>N/D</v>
      </c>
      <c r="F53" s="682" t="e">
        <f aca="false">D53*E53/60</f>
        <v>#VALUE!</v>
      </c>
      <c r="G53" s="678"/>
      <c r="H53" s="679"/>
    </row>
    <row collapsed="false" customFormat="false" customHeight="false" hidden="false" ht="14" outlineLevel="0" r="54">
      <c r="B54" s="680" t="str">
        <f aca="false">B52</f>
        <v>Oncología</v>
      </c>
      <c r="C54" s="675" t="s">
        <v>172</v>
      </c>
      <c r="D54" s="683" t="n">
        <f aca="false">5_Produccion_Desagregada_09_10!F39</f>
        <v>708</v>
      </c>
      <c r="E54" s="677"/>
      <c r="F54" s="677"/>
      <c r="G54" s="685" t="n">
        <f aca="false">IF(ISERROR(D52*G59),"",D52*G59)</f>
        <v>594.849315068493</v>
      </c>
      <c r="H54" s="686" t="n">
        <f aca="false">IF(ISERROR(D54/G54-1),"",D54/G54-1)</f>
        <v>0.190217391304347</v>
      </c>
    </row>
    <row collapsed="false" customFormat="false" customHeight="false" hidden="false" ht="14" outlineLevel="0" r="55">
      <c r="B55" s="680" t="str">
        <f aca="false">B52</f>
        <v>Oncología</v>
      </c>
      <c r="C55" s="675" t="s">
        <v>741</v>
      </c>
      <c r="D55" s="687" t="n">
        <f aca="false">IF(ISERROR(D53/D54),"",(D53/D54))</f>
        <v>0.768361581920904</v>
      </c>
      <c r="E55" s="677"/>
      <c r="F55" s="677"/>
      <c r="G55" s="682"/>
      <c r="H55" s="688"/>
    </row>
    <row collapsed="false" customFormat="false" customHeight="false" hidden="false" ht="14" outlineLevel="0" r="56">
      <c r="B56" s="680" t="str">
        <f aca="false">B52</f>
        <v>Oncología</v>
      </c>
      <c r="C56" s="675" t="s">
        <v>742</v>
      </c>
      <c r="D56" s="689" t="n">
        <f aca="false">IF(ISERROR(D60/D61),"",(D60/D61))</f>
        <v>0.92945205479452</v>
      </c>
      <c r="E56" s="677"/>
      <c r="F56" s="677"/>
      <c r="G56" s="690" t="inlineStr">
        <f aca="false">D56</f>
        <is>
          <t/>
        </is>
      </c>
      <c r="H56" s="688" t="n">
        <f aca="false">IF(ISERROR(D56/G56-1),"",D56/G56-1)</f>
        <v>0</v>
      </c>
    </row>
    <row collapsed="false" customFormat="false" customHeight="false" hidden="false" ht="14" outlineLevel="0" r="57">
      <c r="B57" s="680" t="str">
        <f aca="false">B52</f>
        <v>Oncología</v>
      </c>
      <c r="C57" s="675" t="s">
        <v>743</v>
      </c>
      <c r="D57" s="687" t="n">
        <f aca="false">IF(ISERROR(D62/D54),"",ROUND(D62/D54,1))</f>
        <v>13.5</v>
      </c>
      <c r="E57" s="677"/>
      <c r="F57" s="677"/>
      <c r="G57" s="687" t="n">
        <f aca="false">D57</f>
        <v>13.5</v>
      </c>
      <c r="H57" s="688" t="n">
        <f aca="false">IF(ISERROR(D57/G57-1),"",D57/G57-1)</f>
        <v>0</v>
      </c>
    </row>
    <row collapsed="false" customFormat="false" customHeight="false" hidden="false" ht="14" outlineLevel="0" r="58">
      <c r="B58" s="680" t="str">
        <f aca="false">B52</f>
        <v>Oncología</v>
      </c>
      <c r="C58" s="675" t="s">
        <v>744</v>
      </c>
      <c r="D58" s="691" t="n">
        <f aca="false">IF(ISERROR((D61-D60)/D54),"",IF(D61-D60&lt;0,0,(D61-D60)/D54))</f>
        <v>0.872881355932203</v>
      </c>
      <c r="E58" s="677"/>
      <c r="F58" s="677"/>
      <c r="G58" s="687" t="n">
        <f aca="false">D58</f>
        <v>0.872881355932203</v>
      </c>
      <c r="H58" s="688" t="n">
        <f aca="false">IF(ISERROR(D58/G58-1),"",D58/G58-1)</f>
        <v>0</v>
      </c>
    </row>
    <row collapsed="false" customFormat="false" customHeight="false" hidden="false" ht="14" outlineLevel="0" r="59">
      <c r="B59" s="680" t="str">
        <f aca="false">B52</f>
        <v>Oncología</v>
      </c>
      <c r="C59" s="675" t="s">
        <v>333</v>
      </c>
      <c r="D59" s="678" t="n">
        <f aca="false">IF(ISERROR(D54/D52),"",ROUND(D54/D52,1))</f>
        <v>29.5</v>
      </c>
      <c r="E59" s="677"/>
      <c r="F59" s="677"/>
      <c r="G59" s="691" t="n">
        <f aca="false">IF(ISERROR((30/G57)*G56),"",(30/G57)*G56*$H$1)</f>
        <v>24.7853881278539</v>
      </c>
      <c r="H59" s="688" t="n">
        <f aca="false">IF(ISERROR(D59/G59-1),"",D59/G59-1)</f>
        <v>0.190217391304348</v>
      </c>
    </row>
    <row collapsed="false" customFormat="false" customHeight="false" hidden="false" ht="14" outlineLevel="0" r="60">
      <c r="B60" s="680" t="str">
        <f aca="false">B52</f>
        <v>Oncología</v>
      </c>
      <c r="C60" s="675" t="s">
        <v>750</v>
      </c>
      <c r="D60" s="681" t="n">
        <v>8142</v>
      </c>
      <c r="E60" s="677"/>
      <c r="F60" s="677"/>
      <c r="G60" s="678"/>
      <c r="H60" s="679"/>
    </row>
    <row collapsed="false" customFormat="false" customHeight="false" hidden="false" ht="14" outlineLevel="0" r="61">
      <c r="B61" s="680" t="str">
        <f aca="false">B52</f>
        <v>Oncología</v>
      </c>
      <c r="C61" s="675" t="s">
        <v>747</v>
      </c>
      <c r="D61" s="692" t="n">
        <f aca="false">D52*13_Normas_Programacion!$C$4</f>
        <v>8760</v>
      </c>
      <c r="E61" s="677"/>
      <c r="F61" s="677"/>
      <c r="G61" s="678"/>
      <c r="H61" s="679"/>
    </row>
    <row collapsed="false" customFormat="false" customHeight="false" hidden="false" ht="14" outlineLevel="0" r="62">
      <c r="B62" s="680" t="str">
        <f aca="false">B52</f>
        <v>Oncología</v>
      </c>
      <c r="C62" s="675" t="s">
        <v>748</v>
      </c>
      <c r="D62" s="693" t="n">
        <v>9535</v>
      </c>
      <c r="E62" s="677"/>
      <c r="F62" s="677"/>
      <c r="G62" s="678"/>
      <c r="H62" s="679"/>
    </row>
    <row collapsed="false" customFormat="false" customHeight="false" hidden="false" ht="14" outlineLevel="0" r="63">
      <c r="B63" s="680" t="str">
        <f aca="false">B52</f>
        <v>Oncología</v>
      </c>
      <c r="C63" s="675" t="s">
        <v>751</v>
      </c>
      <c r="D63" s="694" t="n">
        <f aca="false">D60-D53</f>
        <v>7598</v>
      </c>
      <c r="E63" s="678" t="n">
        <f aca="false">13_Normas_Programacion!D36</f>
        <v>20</v>
      </c>
      <c r="F63" s="694" t="n">
        <f aca="false">D63*E63/60</f>
        <v>2532.66666666667</v>
      </c>
      <c r="G63" s="678"/>
      <c r="H63" s="679"/>
    </row>
    <row collapsed="false" customFormat="false" customHeight="false" hidden="false" ht="14" outlineLevel="0" r="64">
      <c r="B64" s="674" t="str">
        <f aca="false">5_Produccion_Desagregada_09_10!C40</f>
        <v>Neonatología</v>
      </c>
      <c r="C64" s="675" t="s">
        <v>739</v>
      </c>
      <c r="D64" s="676" t="n">
        <f aca="false">8_Inform_Camas_Quirof_Consul!E12</f>
        <v>35</v>
      </c>
      <c r="E64" s="677"/>
      <c r="F64" s="677"/>
      <c r="G64" s="678"/>
      <c r="H64" s="679"/>
    </row>
    <row collapsed="false" customFormat="false" customHeight="false" hidden="false" ht="14" outlineLevel="0" r="65">
      <c r="B65" s="680" t="str">
        <f aca="false">B64</f>
        <v>Neonatología</v>
      </c>
      <c r="C65" s="675" t="s">
        <v>740</v>
      </c>
      <c r="D65" s="681" t="n">
        <v>749</v>
      </c>
      <c r="E65" s="678" t="str">
        <f aca="false">13_Normas_Programacion!D37</f>
        <v>N/D</v>
      </c>
      <c r="F65" s="682" t="e">
        <f aca="false">D65*E65/60</f>
        <v>#VALUE!</v>
      </c>
      <c r="G65" s="678"/>
      <c r="H65" s="679"/>
    </row>
    <row collapsed="false" customFormat="false" customHeight="false" hidden="false" ht="14" outlineLevel="0" r="66">
      <c r="B66" s="680" t="str">
        <f aca="false">B64</f>
        <v>Neonatología</v>
      </c>
      <c r="C66" s="675" t="s">
        <v>172</v>
      </c>
      <c r="D66" s="683" t="n">
        <f aca="false">5_Produccion_Desagregada_09_10!F40</f>
        <v>711</v>
      </c>
      <c r="E66" s="677"/>
      <c r="F66" s="677"/>
      <c r="G66" s="685" t="n">
        <f aca="false">IF(ISERROR(D64*G71),"",D64*G71)</f>
        <v>558.237045860631</v>
      </c>
      <c r="H66" s="686" t="n">
        <f aca="false">IF(ISERROR(D66/G66-1),"",D66/G66-1)</f>
        <v>0.273652483782861</v>
      </c>
    </row>
    <row collapsed="false" customFormat="false" customHeight="false" hidden="false" ht="14" outlineLevel="0" r="67">
      <c r="B67" s="680" t="str">
        <f aca="false">B64</f>
        <v>Neonatología</v>
      </c>
      <c r="C67" s="675" t="s">
        <v>741</v>
      </c>
      <c r="D67" s="687" t="n">
        <f aca="false">IF(ISERROR(D65/D66),"",(D65/D66))</f>
        <v>1.05344585091421</v>
      </c>
      <c r="E67" s="677"/>
      <c r="F67" s="677"/>
      <c r="G67" s="682"/>
      <c r="H67" s="688"/>
    </row>
    <row collapsed="false" customFormat="false" customHeight="false" hidden="false" ht="14" outlineLevel="0" r="68">
      <c r="B68" s="680" t="str">
        <f aca="false">B64</f>
        <v>Neonatología</v>
      </c>
      <c r="C68" s="675" t="s">
        <v>742</v>
      </c>
      <c r="D68" s="689" t="n">
        <f aca="false">IF(ISERROR(D72/D73),"",(D72/D73))</f>
        <v>0.917103718199609</v>
      </c>
      <c r="E68" s="677"/>
      <c r="F68" s="677"/>
      <c r="G68" s="690" t="inlineStr">
        <f aca="false">D68</f>
        <is>
          <t/>
        </is>
      </c>
      <c r="H68" s="688" t="n">
        <f aca="false">IF(ISERROR(D68/G68-1),"",D68/G68-1)</f>
        <v>0</v>
      </c>
    </row>
    <row collapsed="false" customFormat="false" customHeight="false" hidden="false" ht="14" outlineLevel="0" r="69">
      <c r="B69" s="680" t="str">
        <f aca="false">B64</f>
        <v>Neonatología</v>
      </c>
      <c r="C69" s="675" t="s">
        <v>743</v>
      </c>
      <c r="D69" s="678" t="n">
        <f aca="false">IF(ISERROR(D74/D66),"",ROUND(D74/D66,1))</f>
        <v>20.7</v>
      </c>
      <c r="E69" s="677"/>
      <c r="F69" s="677"/>
      <c r="G69" s="687" t="n">
        <f aca="false">D69</f>
        <v>20.7</v>
      </c>
      <c r="H69" s="688" t="n">
        <f aca="false">IF(ISERROR(D69/G69-1),"",D69/G69-1)</f>
        <v>0</v>
      </c>
    </row>
    <row collapsed="false" customFormat="false" customHeight="false" hidden="false" ht="14" outlineLevel="0" r="70">
      <c r="B70" s="680" t="str">
        <f aca="false">B64</f>
        <v>Neonatología</v>
      </c>
      <c r="C70" s="675" t="s">
        <v>744</v>
      </c>
      <c r="D70" s="691" t="n">
        <f aca="false">IF(ISERROR((D73-D72)/D66),"",IF(D73-D72&lt;0,0,(D73-D72)/D66))</f>
        <v>1.48945147679325</v>
      </c>
      <c r="E70" s="677"/>
      <c r="F70" s="677"/>
      <c r="G70" s="687" t="n">
        <f aca="false">D70</f>
        <v>1.48945147679325</v>
      </c>
      <c r="H70" s="688" t="n">
        <f aca="false">IF(ISERROR(D70/G70-1),"",D70/G70-1)</f>
        <v>0</v>
      </c>
    </row>
    <row collapsed="false" customFormat="false" customHeight="false" hidden="false" ht="14" outlineLevel="0" r="71">
      <c r="B71" s="680" t="str">
        <f aca="false">B64</f>
        <v>Neonatología</v>
      </c>
      <c r="C71" s="675" t="s">
        <v>333</v>
      </c>
      <c r="D71" s="678" t="n">
        <f aca="false">IF(ISERROR(D66/D64),"",ROUND(D66/D64,1))</f>
        <v>20.3</v>
      </c>
      <c r="E71" s="677"/>
      <c r="F71" s="677"/>
      <c r="G71" s="691" t="n">
        <f aca="false">IF(ISERROR((30/G69)*G68),"",(30/G69)*G68*$H$1)</f>
        <v>15.9496298817323</v>
      </c>
      <c r="H71" s="688" t="n">
        <f aca="false">IF(ISERROR(D71/G71-1),"",D71/G71-1)</f>
        <v>0.272756806930693</v>
      </c>
    </row>
    <row collapsed="false" customFormat="false" customHeight="false" hidden="false" ht="14" outlineLevel="0" r="72">
      <c r="B72" s="680" t="str">
        <f aca="false">B64</f>
        <v>Neonatología</v>
      </c>
      <c r="C72" s="675" t="s">
        <v>750</v>
      </c>
      <c r="D72" s="681" t="n">
        <v>11716</v>
      </c>
      <c r="E72" s="677"/>
      <c r="F72" s="677"/>
      <c r="G72" s="678"/>
      <c r="H72" s="679"/>
    </row>
    <row collapsed="false" customFormat="false" customHeight="false" hidden="false" ht="14" outlineLevel="0" r="73">
      <c r="B73" s="680" t="str">
        <f aca="false">B64</f>
        <v>Neonatología</v>
      </c>
      <c r="C73" s="675" t="s">
        <v>747</v>
      </c>
      <c r="D73" s="692" t="n">
        <f aca="false">D64*13_Normas_Programacion!$C$4</f>
        <v>12775</v>
      </c>
      <c r="E73" s="677"/>
      <c r="F73" s="677"/>
      <c r="G73" s="678"/>
      <c r="H73" s="679"/>
    </row>
    <row collapsed="false" customFormat="false" customHeight="false" hidden="false" ht="14" outlineLevel="0" r="74">
      <c r="B74" s="680" t="str">
        <f aca="false">B64</f>
        <v>Neonatología</v>
      </c>
      <c r="C74" s="675" t="s">
        <v>748</v>
      </c>
      <c r="D74" s="693" t="n">
        <v>14693</v>
      </c>
      <c r="E74" s="677"/>
      <c r="F74" s="677"/>
      <c r="G74" s="678"/>
      <c r="H74" s="679"/>
    </row>
    <row collapsed="false" customFormat="false" customHeight="false" hidden="false" ht="14" outlineLevel="0" r="75">
      <c r="B75" s="680" t="str">
        <f aca="false">B64</f>
        <v>Neonatología</v>
      </c>
      <c r="C75" s="675" t="s">
        <v>751</v>
      </c>
      <c r="D75" s="694" t="n">
        <f aca="false">D72-D65</f>
        <v>10967</v>
      </c>
      <c r="E75" s="678" t="n">
        <f aca="false">13_Normas_Programacion!D38</f>
        <v>20</v>
      </c>
      <c r="F75" s="694" t="n">
        <f aca="false">D75*E75/60</f>
        <v>3655.66666666667</v>
      </c>
      <c r="G75" s="678"/>
      <c r="H75" s="679"/>
    </row>
    <row collapsed="false" customFormat="false" customHeight="false" hidden="false" ht="14" outlineLevel="0" r="76">
      <c r="B76" s="674" t="str">
        <f aca="false">5_Produccion_Desagregada_09_10!C42</f>
        <v>Cirugía General</v>
      </c>
      <c r="C76" s="675" t="s">
        <v>739</v>
      </c>
      <c r="D76" s="676" t="n">
        <f aca="false">8_Inform_Camas_Quirof_Consul!E13</f>
        <v>29</v>
      </c>
      <c r="E76" s="677"/>
      <c r="F76" s="677"/>
      <c r="G76" s="678"/>
      <c r="H76" s="679"/>
    </row>
    <row collapsed="false" customFormat="false" customHeight="false" hidden="false" ht="14" outlineLevel="0" r="77">
      <c r="B77" s="680" t="str">
        <f aca="false">B76</f>
        <v>Cirugía General</v>
      </c>
      <c r="C77" s="675" t="s">
        <v>740</v>
      </c>
      <c r="D77" s="695" t="n">
        <v>2492</v>
      </c>
      <c r="E77" s="678" t="str">
        <f aca="false">13_Normas_Programacion!D39</f>
        <v>N/D</v>
      </c>
      <c r="F77" s="682" t="e">
        <f aca="false">D77*E77/60</f>
        <v>#VALUE!</v>
      </c>
      <c r="G77" s="678"/>
      <c r="H77" s="679"/>
    </row>
    <row collapsed="false" customFormat="false" customHeight="false" hidden="false" ht="14" outlineLevel="0" r="78">
      <c r="B78" s="680" t="str">
        <f aca="false">B76</f>
        <v>Cirugía General</v>
      </c>
      <c r="C78" s="675" t="s">
        <v>172</v>
      </c>
      <c r="D78" s="683" t="n">
        <f aca="false">5_Produccion_Desagregada_09_10!F42</f>
        <v>2410</v>
      </c>
      <c r="E78" s="677"/>
      <c r="F78" s="677"/>
      <c r="G78" s="685" t="n">
        <f aca="false">IF(ISERROR(D76*G83),"",D76*G83)</f>
        <v>2145.80688272636</v>
      </c>
      <c r="H78" s="686" t="n">
        <f aca="false">IF(ISERROR(D78/G78-1),"",D78/G78-1)</f>
        <v>0.123120640259093</v>
      </c>
    </row>
    <row collapsed="false" customFormat="false" customHeight="false" hidden="false" ht="14" outlineLevel="0" r="79">
      <c r="B79" s="680" t="str">
        <f aca="false">B76</f>
        <v>Cirugía General</v>
      </c>
      <c r="C79" s="675" t="s">
        <v>741</v>
      </c>
      <c r="D79" s="687" t="n">
        <f aca="false">IF(ISERROR(D77/D78),"",(D77/D78))</f>
        <v>1.03402489626556</v>
      </c>
      <c r="E79" s="677"/>
      <c r="F79" s="677"/>
      <c r="G79" s="682"/>
      <c r="H79" s="688"/>
    </row>
    <row collapsed="false" customFormat="false" customHeight="false" hidden="false" ht="14" outlineLevel="0" r="80">
      <c r="B80" s="680" t="str">
        <f aca="false">B76</f>
        <v>Cirugía General</v>
      </c>
      <c r="C80" s="675" t="s">
        <v>742</v>
      </c>
      <c r="D80" s="689" t="n">
        <f aca="false">IF(ISERROR(D84/D85),"",(D84/D85))</f>
        <v>0.842701936702881</v>
      </c>
      <c r="E80" s="677"/>
      <c r="F80" s="677"/>
      <c r="G80" s="690" t="inlineStr">
        <f aca="false">D80</f>
        <is>
          <t/>
        </is>
      </c>
      <c r="H80" s="688" t="n">
        <f aca="false">IF(ISERROR(D80/G80-1),"",D80/G80-1)</f>
        <v>0</v>
      </c>
    </row>
    <row collapsed="false" customFormat="false" customHeight="false" hidden="false" ht="14" outlineLevel="0" r="81">
      <c r="B81" s="680" t="str">
        <f aca="false">B76</f>
        <v>Cirugía General</v>
      </c>
      <c r="C81" s="675" t="s">
        <v>743</v>
      </c>
      <c r="D81" s="678" t="n">
        <f aca="false">IF(ISERROR(D86/D78),"",ROUND(D86/D78,1))</f>
        <v>4.1</v>
      </c>
      <c r="E81" s="677"/>
      <c r="F81" s="677"/>
      <c r="G81" s="687" t="n">
        <f aca="false">D81</f>
        <v>4.1</v>
      </c>
      <c r="H81" s="688" t="n">
        <f aca="false">IF(ISERROR(D81/G81-1),"",D81/G81-1)</f>
        <v>0</v>
      </c>
    </row>
    <row collapsed="false" customFormat="false" customHeight="false" hidden="false" ht="14" outlineLevel="0" r="82">
      <c r="B82" s="680" t="str">
        <f aca="false">B76</f>
        <v>Cirugía General</v>
      </c>
      <c r="C82" s="675" t="s">
        <v>744</v>
      </c>
      <c r="D82" s="691" t="n">
        <f aca="false">IF(ISERROR((D85-D84)/D78),"",IF(D85-D84&lt;0,0,(D85-D84)/D78))</f>
        <v>0.690871369294606</v>
      </c>
      <c r="E82" s="677"/>
      <c r="F82" s="677"/>
      <c r="G82" s="687" t="n">
        <f aca="false">D82</f>
        <v>0.690871369294606</v>
      </c>
      <c r="H82" s="688" t="n">
        <f aca="false">IF(ISERROR(D82/G82-1),"",D82/G82-1)</f>
        <v>0</v>
      </c>
    </row>
    <row collapsed="false" customFormat="false" customHeight="false" hidden="false" ht="14" outlineLevel="0" r="83">
      <c r="B83" s="680" t="str">
        <f aca="false">B76</f>
        <v>Cirugía General</v>
      </c>
      <c r="C83" s="675" t="s">
        <v>333</v>
      </c>
      <c r="D83" s="678" t="n">
        <f aca="false">IF(ISERROR(D78/D76),"",ROUND(D78/D76,1))</f>
        <v>83.1</v>
      </c>
      <c r="E83" s="677"/>
      <c r="F83" s="677"/>
      <c r="G83" s="691" t="n">
        <f aca="false">IF(ISERROR((30/G81)*G80),"",(30/G81)*G80*$H$1)</f>
        <v>73.9933407836676</v>
      </c>
      <c r="H83" s="688" t="n">
        <f aca="false">IF(ISERROR(D83/G83-1),"",D83/G83-1)</f>
        <v>0.1230740377429</v>
      </c>
    </row>
    <row collapsed="false" customFormat="false" customHeight="false" hidden="false" ht="14" outlineLevel="0" r="84">
      <c r="B84" s="680" t="str">
        <f aca="false">B76</f>
        <v>Cirugía General</v>
      </c>
      <c r="C84" s="675" t="s">
        <v>750</v>
      </c>
      <c r="D84" s="681" t="n">
        <v>8920</v>
      </c>
      <c r="E84" s="677"/>
      <c r="F84" s="677"/>
      <c r="G84" s="678"/>
      <c r="H84" s="679"/>
    </row>
    <row collapsed="false" customFormat="false" customHeight="false" hidden="false" ht="14" outlineLevel="0" r="85">
      <c r="B85" s="680" t="str">
        <f aca="false">B76</f>
        <v>Cirugía General</v>
      </c>
      <c r="C85" s="675" t="s">
        <v>747</v>
      </c>
      <c r="D85" s="692" t="n">
        <f aca="false">D76*13_Normas_Programacion!$C$4</f>
        <v>10585</v>
      </c>
      <c r="E85" s="677"/>
      <c r="F85" s="677"/>
      <c r="G85" s="678"/>
      <c r="H85" s="679"/>
    </row>
    <row collapsed="false" customFormat="false" customHeight="false" hidden="false" ht="14" outlineLevel="0" r="86">
      <c r="B86" s="680" t="str">
        <f aca="false">B76</f>
        <v>Cirugía General</v>
      </c>
      <c r="C86" s="675" t="s">
        <v>748</v>
      </c>
      <c r="D86" s="681" t="n">
        <v>9995</v>
      </c>
      <c r="E86" s="677"/>
      <c r="F86" s="677"/>
      <c r="G86" s="678"/>
      <c r="H86" s="679"/>
    </row>
    <row collapsed="false" customFormat="false" customHeight="false" hidden="false" ht="14" outlineLevel="0" r="87">
      <c r="B87" s="680" t="str">
        <f aca="false">B76</f>
        <v>Cirugía General</v>
      </c>
      <c r="C87" s="675" t="s">
        <v>751</v>
      </c>
      <c r="D87" s="694" t="n">
        <f aca="false">D84-D77</f>
        <v>6428</v>
      </c>
      <c r="E87" s="678" t="n">
        <f aca="false">13_Normas_Programacion!D40</f>
        <v>20</v>
      </c>
      <c r="F87" s="694" t="n">
        <f aca="false">D87*E87/60</f>
        <v>2142.66666666667</v>
      </c>
      <c r="G87" s="678"/>
      <c r="H87" s="679"/>
    </row>
    <row collapsed="false" customFormat="false" customHeight="false" hidden="false" ht="14" outlineLevel="0" r="88">
      <c r="B88" s="674" t="str">
        <f aca="false">5_Produccion_Desagregada_09_10!C43</f>
        <v>Cirugía Plastica</v>
      </c>
      <c r="C88" s="675" t="s">
        <v>739</v>
      </c>
      <c r="D88" s="676" t="n">
        <f aca="false">8_Inform_Camas_Quirof_Consul!E14</f>
        <v>21</v>
      </c>
      <c r="E88" s="677"/>
      <c r="F88" s="677"/>
      <c r="G88" s="678"/>
      <c r="H88" s="679"/>
    </row>
    <row collapsed="false" customFormat="false" customHeight="false" hidden="false" ht="14" outlineLevel="0" r="89">
      <c r="B89" s="680" t="str">
        <f aca="false">B88</f>
        <v>Cirugía Plastica</v>
      </c>
      <c r="C89" s="675" t="s">
        <v>740</v>
      </c>
      <c r="D89" s="695" t="n">
        <v>872</v>
      </c>
      <c r="E89" s="678" t="str">
        <f aca="false">13_Normas_Programacion!D41</f>
        <v>N/D</v>
      </c>
      <c r="F89" s="682" t="e">
        <f aca="false">D89*E89/60</f>
        <v>#VALUE!</v>
      </c>
      <c r="G89" s="678"/>
      <c r="H89" s="679"/>
    </row>
    <row collapsed="false" customFormat="false" customHeight="false" hidden="false" ht="14" outlineLevel="0" r="90">
      <c r="B90" s="680" t="str">
        <f aca="false">B88</f>
        <v>Cirugía Plastica</v>
      </c>
      <c r="C90" s="675" t="s">
        <v>172</v>
      </c>
      <c r="D90" s="683" t="n">
        <f aca="false">5_Produccion_Desagregada_09_10!F43</f>
        <v>962</v>
      </c>
      <c r="E90" s="677"/>
      <c r="F90" s="677"/>
      <c r="G90" s="685" t="n">
        <f aca="false">IF(ISERROR(D88*G95),"",D88*G95)</f>
        <v>848.350684931507</v>
      </c>
      <c r="H90" s="686" t="n">
        <f aca="false">IF(ISERROR(D90/G90-1),"",D90/G90-1)</f>
        <v>0.133965018343409</v>
      </c>
    </row>
    <row collapsed="false" customFormat="false" customHeight="false" hidden="false" ht="14" outlineLevel="0" r="91">
      <c r="B91" s="680" t="str">
        <f aca="false">B88</f>
        <v>Cirugía Plastica</v>
      </c>
      <c r="C91" s="675" t="s">
        <v>741</v>
      </c>
      <c r="D91" s="687" t="n">
        <f aca="false">IF(ISERROR(D89/D90),"",(D89/D90))</f>
        <v>0.906444906444906</v>
      </c>
      <c r="E91" s="677"/>
      <c r="F91" s="677"/>
      <c r="G91" s="682"/>
      <c r="H91" s="688"/>
    </row>
    <row collapsed="false" customFormat="false" customHeight="false" hidden="false" ht="14" outlineLevel="0" r="92">
      <c r="B92" s="680" t="str">
        <f aca="false">B88</f>
        <v>Cirugía Plastica</v>
      </c>
      <c r="C92" s="675" t="s">
        <v>742</v>
      </c>
      <c r="D92" s="689" t="n">
        <f aca="false">IF(ISERROR(D96/D97),"",(D96/D97))</f>
        <v>0.841617742987606</v>
      </c>
      <c r="E92" s="677"/>
      <c r="F92" s="677"/>
      <c r="G92" s="690" t="inlineStr">
        <f aca="false">D92</f>
        <is>
          <t/>
        </is>
      </c>
      <c r="H92" s="688" t="n">
        <f aca="false">IF(ISERROR(D92/G92-1),"",D92/G92-1)</f>
        <v>0</v>
      </c>
    </row>
    <row collapsed="false" customFormat="false" customHeight="false" hidden="false" ht="14" outlineLevel="0" r="93">
      <c r="B93" s="680" t="str">
        <f aca="false">B88</f>
        <v>Cirugía Plastica</v>
      </c>
      <c r="C93" s="675" t="s">
        <v>743</v>
      </c>
      <c r="D93" s="678" t="n">
        <f aca="false">IF(ISERROR(D98/D90),"",ROUND(D98/D90,1))</f>
        <v>7.5</v>
      </c>
      <c r="E93" s="677"/>
      <c r="F93" s="677"/>
      <c r="G93" s="687" t="n">
        <f aca="false">D93</f>
        <v>7.5</v>
      </c>
      <c r="H93" s="688" t="n">
        <f aca="false">IF(ISERROR(D93/G93-1),"",D93/G93-1)</f>
        <v>0</v>
      </c>
    </row>
    <row collapsed="false" customFormat="false" customHeight="false" hidden="false" ht="14" outlineLevel="0" r="94">
      <c r="B94" s="680" t="str">
        <f aca="false">B88</f>
        <v>Cirugía Plastica</v>
      </c>
      <c r="C94" s="675" t="s">
        <v>744</v>
      </c>
      <c r="D94" s="691" t="n">
        <f aca="false">IF(ISERROR((D97-D96)/D90),"",IF(D97-D96&lt;0,0,(D97-D96)/D90))</f>
        <v>1.26195426195426</v>
      </c>
      <c r="E94" s="677"/>
      <c r="F94" s="677"/>
      <c r="G94" s="687" t="n">
        <f aca="false">D94</f>
        <v>1.26195426195426</v>
      </c>
      <c r="H94" s="688" t="n">
        <f aca="false">IF(ISERROR(D94/G94-1),"",D94/G94-1)</f>
        <v>0</v>
      </c>
    </row>
    <row collapsed="false" customFormat="false" customHeight="false" hidden="false" ht="14" outlineLevel="0" r="95">
      <c r="B95" s="680" t="str">
        <f aca="false">B88</f>
        <v>Cirugía Plastica</v>
      </c>
      <c r="C95" s="675" t="s">
        <v>333</v>
      </c>
      <c r="D95" s="678" t="n">
        <f aca="false">IF(ISERROR(D90/D88),"",ROUND(D90/D88,1))</f>
        <v>45.8</v>
      </c>
      <c r="E95" s="677"/>
      <c r="F95" s="677"/>
      <c r="G95" s="691" t="n">
        <f aca="false">IF(ISERROR((30/G93)*G92),"",(30/G93)*G92*$H$1)</f>
        <v>40.3976516634051</v>
      </c>
      <c r="H95" s="688" t="n">
        <f aca="false">IF(ISERROR(D95/G95-1),"",D95/G95-1)</f>
        <v>0.133729266780344</v>
      </c>
    </row>
    <row collapsed="false" customFormat="false" customHeight="false" hidden="false" ht="14" outlineLevel="0" r="96">
      <c r="B96" s="680" t="str">
        <f aca="false">B88</f>
        <v>Cirugía Plastica</v>
      </c>
      <c r="C96" s="675" t="s">
        <v>750</v>
      </c>
      <c r="D96" s="681" t="n">
        <v>6451</v>
      </c>
      <c r="E96" s="677"/>
      <c r="F96" s="677"/>
      <c r="G96" s="678"/>
      <c r="H96" s="679"/>
    </row>
    <row collapsed="false" customFormat="false" customHeight="false" hidden="false" ht="14" outlineLevel="0" r="97">
      <c r="B97" s="680" t="str">
        <f aca="false">B88</f>
        <v>Cirugía Plastica</v>
      </c>
      <c r="C97" s="675" t="s">
        <v>747</v>
      </c>
      <c r="D97" s="692" t="n">
        <f aca="false">D88*13_Normas_Programacion!$C$4</f>
        <v>7665</v>
      </c>
      <c r="E97" s="677"/>
      <c r="F97" s="677"/>
      <c r="G97" s="678"/>
      <c r="H97" s="679"/>
    </row>
    <row collapsed="false" customFormat="false" customHeight="false" hidden="false" ht="14" outlineLevel="0" r="98">
      <c r="B98" s="680" t="str">
        <f aca="false">B88</f>
        <v>Cirugía Plastica</v>
      </c>
      <c r="C98" s="675" t="s">
        <v>748</v>
      </c>
      <c r="D98" s="681" t="n">
        <v>7246</v>
      </c>
      <c r="E98" s="677"/>
      <c r="F98" s="677"/>
      <c r="G98" s="678"/>
      <c r="H98" s="679"/>
    </row>
    <row collapsed="false" customFormat="false" customHeight="false" hidden="false" ht="14" outlineLevel="0" r="99">
      <c r="B99" s="680" t="str">
        <f aca="false">B88</f>
        <v>Cirugía Plastica</v>
      </c>
      <c r="C99" s="675" t="s">
        <v>751</v>
      </c>
      <c r="D99" s="694" t="n">
        <f aca="false">D96-D89</f>
        <v>5579</v>
      </c>
      <c r="E99" s="678" t="n">
        <f aca="false">13_Normas_Programacion!D42</f>
        <v>20</v>
      </c>
      <c r="F99" s="694" t="n">
        <f aca="false">D99*E99/60</f>
        <v>1859.66666666667</v>
      </c>
      <c r="G99" s="678"/>
      <c r="H99" s="679"/>
    </row>
    <row collapsed="false" customFormat="false" customHeight="false" hidden="false" ht="14" outlineLevel="0" r="100">
      <c r="B100" s="674" t="str">
        <f aca="false">5_Produccion_Desagregada_09_10!C44</f>
        <v>Neurocirugía</v>
      </c>
      <c r="C100" s="675" t="s">
        <v>739</v>
      </c>
      <c r="D100" s="676" t="n">
        <f aca="false">8_Inform_Camas_Quirof_Consul!E15</f>
        <v>29</v>
      </c>
      <c r="E100" s="677"/>
      <c r="F100" s="677"/>
      <c r="G100" s="678"/>
      <c r="H100" s="679"/>
    </row>
    <row collapsed="false" customFormat="false" customHeight="false" hidden="false" ht="14" outlineLevel="0" r="101">
      <c r="B101" s="680" t="str">
        <f aca="false">B100</f>
        <v>Neurocirugía</v>
      </c>
      <c r="C101" s="675" t="s">
        <v>740</v>
      </c>
      <c r="D101" s="695" t="n">
        <v>1203</v>
      </c>
      <c r="E101" s="678" t="str">
        <f aca="false">13_Normas_Programacion!D43</f>
        <v>N/D</v>
      </c>
      <c r="F101" s="682" t="e">
        <f aca="false">D101*E101/60</f>
        <v>#VALUE!</v>
      </c>
      <c r="G101" s="678"/>
      <c r="H101" s="679"/>
    </row>
    <row collapsed="false" customFormat="false" customHeight="false" hidden="false" ht="14" outlineLevel="0" r="102">
      <c r="B102" s="680" t="str">
        <f aca="false">B100</f>
        <v>Neurocirugía</v>
      </c>
      <c r="C102" s="675" t="s">
        <v>172</v>
      </c>
      <c r="D102" s="683" t="n">
        <f aca="false">5_Produccion_Desagregada_09_10!F44</f>
        <v>1152</v>
      </c>
      <c r="E102" s="677"/>
      <c r="F102" s="677"/>
      <c r="G102" s="685" t="n">
        <f aca="false">IF(ISERROR(D100*G107),"",D100*G107)</f>
        <v>973.421434327156</v>
      </c>
      <c r="H102" s="686" t="n">
        <f aca="false">IF(ISERROR(D102/G102-1),"",D102/G102-1)</f>
        <v>0.183454523781142</v>
      </c>
    </row>
    <row collapsed="false" customFormat="false" customHeight="false" hidden="false" ht="14" outlineLevel="0" r="103">
      <c r="B103" s="680" t="str">
        <f aca="false">B100</f>
        <v>Neurocirugía</v>
      </c>
      <c r="C103" s="675" t="s">
        <v>741</v>
      </c>
      <c r="D103" s="687" t="n">
        <f aca="false">IF(ISERROR(D101/D102),"",(D101/D102))</f>
        <v>1.04427083333333</v>
      </c>
      <c r="E103" s="677"/>
      <c r="F103" s="677"/>
      <c r="G103" s="682"/>
      <c r="H103" s="688"/>
    </row>
    <row collapsed="false" customFormat="false" customHeight="false" hidden="false" ht="14" outlineLevel="0" r="104">
      <c r="B104" s="680" t="str">
        <f aca="false">B100</f>
        <v>Neurocirugía</v>
      </c>
      <c r="C104" s="675" t="s">
        <v>742</v>
      </c>
      <c r="D104" s="689" t="n">
        <f aca="false">IF(ISERROR(D108/D109),"",(D108/D109))</f>
        <v>0.792536608408125</v>
      </c>
      <c r="E104" s="677"/>
      <c r="F104" s="677"/>
      <c r="G104" s="690" t="inlineStr">
        <f aca="false">D104</f>
        <is>
          <t/>
        </is>
      </c>
      <c r="H104" s="688" t="n">
        <f aca="false">IF(ISERROR(D104/G104-1),"",D104/G104-1)</f>
        <v>0</v>
      </c>
    </row>
    <row collapsed="false" customFormat="false" customHeight="false" hidden="false" ht="14" outlineLevel="0" r="105">
      <c r="B105" s="680" t="str">
        <f aca="false">B100</f>
        <v>Neurocirugía</v>
      </c>
      <c r="C105" s="675" t="s">
        <v>743</v>
      </c>
      <c r="D105" s="678" t="n">
        <f aca="false">IF(ISERROR(D110/D102),"",ROUND(D110/D102,1))</f>
        <v>8.5</v>
      </c>
      <c r="E105" s="677"/>
      <c r="F105" s="677"/>
      <c r="G105" s="687" t="n">
        <f aca="false">D105</f>
        <v>8.5</v>
      </c>
      <c r="H105" s="688" t="n">
        <f aca="false">IF(ISERROR(D105/G105-1),"",D105/G105-1)</f>
        <v>0</v>
      </c>
    </row>
    <row collapsed="false" customFormat="false" customHeight="false" hidden="false" ht="14" outlineLevel="0" r="106">
      <c r="B106" s="680" t="str">
        <f aca="false">B100</f>
        <v>Neurocirugía</v>
      </c>
      <c r="C106" s="675" t="s">
        <v>744</v>
      </c>
      <c r="D106" s="691" t="n">
        <f aca="false">IF(ISERROR((D109-D108)/D102),"",IF(D109-D108&lt;0,0,(D109-D108)/D102))</f>
        <v>1.90625</v>
      </c>
      <c r="E106" s="677"/>
      <c r="F106" s="677"/>
      <c r="G106" s="687" t="n">
        <f aca="false">D106</f>
        <v>1.90625</v>
      </c>
      <c r="H106" s="688" t="n">
        <f aca="false">IF(ISERROR(D106/G106-1),"",D106/G106-1)</f>
        <v>0</v>
      </c>
    </row>
    <row collapsed="false" customFormat="false" customHeight="false" hidden="false" ht="14" outlineLevel="0" r="107">
      <c r="B107" s="680" t="str">
        <f aca="false">B100</f>
        <v>Neurocirugía</v>
      </c>
      <c r="C107" s="675" t="s">
        <v>333</v>
      </c>
      <c r="D107" s="678" t="n">
        <f aca="false">IF(ISERROR(D102/D100),"",ROUND(D102/D100,1))</f>
        <v>39.7</v>
      </c>
      <c r="E107" s="677"/>
      <c r="F107" s="677"/>
      <c r="G107" s="691" t="n">
        <f aca="false">IF(ISERROR((30/G105)*G104),"",(30/G105)*G104*$H$1)</f>
        <v>33.5662563561088</v>
      </c>
      <c r="H107" s="688" t="n">
        <f aca="false">IF(ISERROR(D107/G107-1),"",D107/G107-1)</f>
        <v>0.182735410789261</v>
      </c>
    </row>
    <row collapsed="false" customFormat="false" customHeight="false" hidden="false" ht="14" outlineLevel="0" r="108">
      <c r="B108" s="680" t="str">
        <f aca="false">B100</f>
        <v>Neurocirugía</v>
      </c>
      <c r="C108" s="675" t="s">
        <v>750</v>
      </c>
      <c r="D108" s="681" t="n">
        <v>8389</v>
      </c>
      <c r="E108" s="677"/>
      <c r="F108" s="677"/>
      <c r="G108" s="678"/>
      <c r="H108" s="679"/>
    </row>
    <row collapsed="false" customFormat="false" customHeight="false" hidden="false" ht="14" outlineLevel="0" r="109">
      <c r="B109" s="680" t="str">
        <f aca="false">B100</f>
        <v>Neurocirugía</v>
      </c>
      <c r="C109" s="675" t="s">
        <v>747</v>
      </c>
      <c r="D109" s="692" t="n">
        <f aca="false">D100*13_Normas_Programacion!$C$4</f>
        <v>10585</v>
      </c>
      <c r="E109" s="677"/>
      <c r="F109" s="677"/>
      <c r="G109" s="678"/>
      <c r="H109" s="679"/>
    </row>
    <row collapsed="false" customFormat="false" customHeight="false" hidden="false" ht="14" outlineLevel="0" r="110">
      <c r="B110" s="680" t="str">
        <f aca="false">B100</f>
        <v>Neurocirugía</v>
      </c>
      <c r="C110" s="675" t="s">
        <v>748</v>
      </c>
      <c r="D110" s="681" t="n">
        <v>9739</v>
      </c>
      <c r="E110" s="677"/>
      <c r="F110" s="677"/>
      <c r="G110" s="678"/>
      <c r="H110" s="679"/>
    </row>
    <row collapsed="false" customFormat="false" customHeight="false" hidden="false" ht="14" outlineLevel="0" r="111">
      <c r="B111" s="680" t="str">
        <f aca="false">B100</f>
        <v>Neurocirugía</v>
      </c>
      <c r="C111" s="675" t="s">
        <v>751</v>
      </c>
      <c r="D111" s="694" t="n">
        <f aca="false">D108-D101</f>
        <v>7186</v>
      </c>
      <c r="E111" s="678" t="n">
        <f aca="false">13_Normas_Programacion!D44</f>
        <v>20</v>
      </c>
      <c r="F111" s="694" t="n">
        <f aca="false">D111*E111/60</f>
        <v>2395.33333333333</v>
      </c>
      <c r="G111" s="678"/>
      <c r="H111" s="679"/>
    </row>
    <row collapsed="false" customFormat="false" customHeight="false" hidden="false" ht="14" outlineLevel="0" r="112">
      <c r="B112" s="674" t="str">
        <f aca="false">5_Produccion_Desagregada_09_10!C45</f>
        <v>Oftalmología</v>
      </c>
      <c r="C112" s="675" t="s">
        <v>739</v>
      </c>
      <c r="D112" s="676" t="n">
        <f aca="false">8_Inform_Camas_Quirof_Consul!E16</f>
        <v>7</v>
      </c>
      <c r="E112" s="677"/>
      <c r="F112" s="677"/>
      <c r="G112" s="678"/>
      <c r="H112" s="679"/>
    </row>
    <row collapsed="false" customFormat="false" customHeight="false" hidden="false" ht="14" outlineLevel="0" r="113">
      <c r="B113" s="680" t="str">
        <f aca="false">B112</f>
        <v>Oftalmología</v>
      </c>
      <c r="C113" s="675" t="s">
        <v>740</v>
      </c>
      <c r="D113" s="695" t="n">
        <v>916</v>
      </c>
      <c r="E113" s="678" t="str">
        <f aca="false">13_Normas_Programacion!D45</f>
        <v>N/D</v>
      </c>
      <c r="F113" s="682" t="e">
        <f aca="false">D113*E113/60</f>
        <v>#VALUE!</v>
      </c>
      <c r="G113" s="678"/>
      <c r="H113" s="679"/>
    </row>
    <row collapsed="false" customFormat="false" customHeight="false" hidden="false" ht="14" outlineLevel="0" r="114">
      <c r="B114" s="680" t="str">
        <f aca="false">B112</f>
        <v>Oftalmología</v>
      </c>
      <c r="C114" s="675" t="s">
        <v>172</v>
      </c>
      <c r="D114" s="683" t="n">
        <f aca="false">5_Produccion_Desagregada_09_10!F45</f>
        <v>905</v>
      </c>
      <c r="E114" s="677"/>
      <c r="F114" s="677"/>
      <c r="G114" s="685" t="n">
        <f aca="false">IF(ISERROR(D112*G119),"",D112*G119)</f>
        <v>850.012453300125</v>
      </c>
      <c r="H114" s="686" t="n">
        <f aca="false">IF(ISERROR(D114/G114-1),"",D114/G114-1)</f>
        <v>0.0646902836380683</v>
      </c>
    </row>
    <row collapsed="false" customFormat="false" customHeight="false" hidden="false" ht="14" outlineLevel="0" r="115">
      <c r="B115" s="680" t="str">
        <f aca="false">B112</f>
        <v>Oftalmología</v>
      </c>
      <c r="C115" s="675" t="s">
        <v>741</v>
      </c>
      <c r="D115" s="687" t="n">
        <f aca="false">IF(ISERROR(D113/D114),"",(D113/D114))</f>
        <v>1.0121546961326</v>
      </c>
      <c r="E115" s="677"/>
      <c r="F115" s="677"/>
      <c r="G115" s="682"/>
      <c r="H115" s="688"/>
    </row>
    <row collapsed="false" customFormat="false" customHeight="false" hidden="false" ht="14" outlineLevel="0" r="116">
      <c r="B116" s="680" t="str">
        <f aca="false">B112</f>
        <v>Oftalmología</v>
      </c>
      <c r="C116" s="675" t="s">
        <v>742</v>
      </c>
      <c r="D116" s="689" t="n">
        <f aca="false">IF(ISERROR(D120/D121),"",(D120/D121))</f>
        <v>1.11311154598826</v>
      </c>
      <c r="E116" s="677"/>
      <c r="F116" s="677"/>
      <c r="G116" s="690" t="inlineStr">
        <f aca="false">D116</f>
        <is>
          <t/>
        </is>
      </c>
      <c r="H116" s="688" t="n">
        <f aca="false">IF(ISERROR(D116/G116-1),"",D116/G116-1)</f>
        <v>0</v>
      </c>
    </row>
    <row collapsed="false" customFormat="false" customHeight="false" hidden="false" ht="14" outlineLevel="0" r="117">
      <c r="B117" s="680" t="str">
        <f aca="false">B112</f>
        <v>Oftalmología</v>
      </c>
      <c r="C117" s="675" t="s">
        <v>743</v>
      </c>
      <c r="D117" s="678" t="n">
        <f aca="false">IF(ISERROR(D122/D114),"",ROUND(D122/D114,1))</f>
        <v>3.3</v>
      </c>
      <c r="E117" s="677"/>
      <c r="F117" s="677"/>
      <c r="G117" s="687" t="n">
        <f aca="false">D117</f>
        <v>3.3</v>
      </c>
      <c r="H117" s="688" t="n">
        <f aca="false">IF(ISERROR(D117/G117-1),"",D117/G117-1)</f>
        <v>0</v>
      </c>
    </row>
    <row collapsed="false" customFormat="false" customHeight="false" hidden="false" ht="14" outlineLevel="0" r="118">
      <c r="B118" s="680" t="str">
        <f aca="false">B112</f>
        <v>Oftalmología</v>
      </c>
      <c r="C118" s="675" t="s">
        <v>744</v>
      </c>
      <c r="D118" s="691" t="n">
        <f aca="false">IF(ISERROR((D121-D120)/D114),"",IF(D121-D120&lt;0,0,(D121-D120)/D114))</f>
        <v>0</v>
      </c>
      <c r="E118" s="677"/>
      <c r="F118" s="677"/>
      <c r="G118" s="687" t="n">
        <f aca="false">D118</f>
        <v>0</v>
      </c>
      <c r="H118" s="688" t="str">
        <f aca="false">IF(ISERROR(D118/G118-1),"",D118/G118-1)</f>
        <v/>
      </c>
    </row>
    <row collapsed="false" customFormat="false" customHeight="false" hidden="false" ht="14" outlineLevel="0" r="119">
      <c r="B119" s="680" t="str">
        <f aca="false">B112</f>
        <v>Oftalmología</v>
      </c>
      <c r="C119" s="675" t="s">
        <v>333</v>
      </c>
      <c r="D119" s="678" t="n">
        <f aca="false">IF(ISERROR(D114/D112),"",ROUND(D114/D112,1))</f>
        <v>129.3</v>
      </c>
      <c r="E119" s="677"/>
      <c r="F119" s="677"/>
      <c r="G119" s="691" t="n">
        <f aca="false">IF(ISERROR((30/G117)*G116),"",(30/G117)*G116*$H$1)</f>
        <v>121.430350471446</v>
      </c>
      <c r="H119" s="688" t="n">
        <f aca="false">IF(ISERROR(D119/G119-1),"",D119/G119-1)</f>
        <v>0.064807928973277</v>
      </c>
    </row>
    <row collapsed="false" customFormat="false" customHeight="false" hidden="false" ht="14" outlineLevel="0" r="120">
      <c r="B120" s="680" t="str">
        <f aca="false">B112</f>
        <v>Oftalmología</v>
      </c>
      <c r="C120" s="675" t="s">
        <v>750</v>
      </c>
      <c r="D120" s="681" t="n">
        <v>2844</v>
      </c>
      <c r="E120" s="677"/>
      <c r="F120" s="677"/>
      <c r="G120" s="678"/>
      <c r="H120" s="679"/>
    </row>
    <row collapsed="false" customFormat="false" customHeight="false" hidden="false" ht="14" outlineLevel="0" r="121">
      <c r="B121" s="680" t="str">
        <f aca="false">B112</f>
        <v>Oftalmología</v>
      </c>
      <c r="C121" s="675" t="s">
        <v>747</v>
      </c>
      <c r="D121" s="692" t="n">
        <f aca="false">D112*13_Normas_Programacion!$C$4</f>
        <v>2555</v>
      </c>
      <c r="E121" s="677"/>
      <c r="F121" s="677"/>
      <c r="G121" s="678"/>
      <c r="H121" s="679"/>
    </row>
    <row collapsed="false" customFormat="false" customHeight="false" hidden="false" ht="14" outlineLevel="0" r="122">
      <c r="B122" s="680" t="str">
        <f aca="false">B112</f>
        <v>Oftalmología</v>
      </c>
      <c r="C122" s="675" t="s">
        <v>748</v>
      </c>
      <c r="D122" s="681" t="n">
        <v>3002</v>
      </c>
      <c r="E122" s="677"/>
      <c r="F122" s="677"/>
      <c r="G122" s="678"/>
      <c r="H122" s="679"/>
    </row>
    <row collapsed="false" customFormat="false" customHeight="false" hidden="false" ht="14" outlineLevel="0" r="123">
      <c r="B123" s="680" t="str">
        <f aca="false">B112</f>
        <v>Oftalmología</v>
      </c>
      <c r="C123" s="675" t="s">
        <v>751</v>
      </c>
      <c r="D123" s="694" t="n">
        <f aca="false">D120-D113</f>
        <v>1928</v>
      </c>
      <c r="E123" s="678" t="n">
        <f aca="false">13_Normas_Programacion!D46</f>
        <v>20</v>
      </c>
      <c r="F123" s="694" t="n">
        <f aca="false">D123*E123/60</f>
        <v>642.666666666667</v>
      </c>
      <c r="G123" s="678"/>
      <c r="H123" s="679"/>
    </row>
    <row collapsed="false" customFormat="false" customHeight="false" hidden="false" ht="14" outlineLevel="0" r="124">
      <c r="B124" s="674" t="str">
        <f aca="false">5_Produccion_Desagregada_09_10!C46</f>
        <v>Otorrinolaringología</v>
      </c>
      <c r="C124" s="675" t="s">
        <v>739</v>
      </c>
      <c r="D124" s="676" t="n">
        <f aca="false">8_Inform_Camas_Quirof_Consul!E17</f>
        <v>11</v>
      </c>
      <c r="E124" s="677"/>
      <c r="F124" s="677"/>
      <c r="G124" s="678"/>
      <c r="H124" s="679"/>
    </row>
    <row collapsed="false" customFormat="false" customHeight="false" hidden="false" ht="14" outlineLevel="0" r="125">
      <c r="B125" s="680" t="str">
        <f aca="false">B124</f>
        <v>Otorrinolaringología</v>
      </c>
      <c r="C125" s="675" t="s">
        <v>740</v>
      </c>
      <c r="D125" s="695" t="n">
        <v>1159</v>
      </c>
      <c r="E125" s="678" t="str">
        <f aca="false">13_Normas_Programacion!D47</f>
        <v>N/D</v>
      </c>
      <c r="F125" s="682" t="e">
        <f aca="false">D125*E125/60</f>
        <v>#VALUE!</v>
      </c>
      <c r="G125" s="678"/>
      <c r="H125" s="679"/>
    </row>
    <row collapsed="false" customFormat="false" customHeight="false" hidden="false" ht="14" outlineLevel="0" r="126">
      <c r="B126" s="680" t="str">
        <f aca="false">B124</f>
        <v>Otorrinolaringología</v>
      </c>
      <c r="C126" s="675" t="s">
        <v>172</v>
      </c>
      <c r="D126" s="683" t="n">
        <f aca="false">5_Produccion_Desagregada_09_10!F46</f>
        <v>1131</v>
      </c>
      <c r="E126" s="677"/>
      <c r="F126" s="677"/>
      <c r="G126" s="685" t="n">
        <f aca="false">IF(ISERROR(D124*G131),"",D124*G131)</f>
        <v>1070.13698630137</v>
      </c>
      <c r="H126" s="686" t="n">
        <f aca="false">IF(ISERROR(D126/G126-1),"",D126/G126-1)</f>
        <v>0.0568740399385563</v>
      </c>
    </row>
    <row collapsed="false" customFormat="false" customHeight="false" hidden="false" ht="14" outlineLevel="0" r="127">
      <c r="B127" s="680" t="str">
        <f aca="false">B124</f>
        <v>Otorrinolaringología</v>
      </c>
      <c r="C127" s="675" t="s">
        <v>741</v>
      </c>
      <c r="D127" s="687" t="n">
        <f aca="false">IF(ISERROR(D125/D126),"",(D125/D126))</f>
        <v>1.02475685234306</v>
      </c>
      <c r="E127" s="677"/>
      <c r="F127" s="677"/>
      <c r="G127" s="682"/>
      <c r="H127" s="688"/>
    </row>
    <row collapsed="false" customFormat="false" customHeight="false" hidden="false" ht="14" outlineLevel="0" r="128">
      <c r="B128" s="680" t="str">
        <f aca="false">B124</f>
        <v>Otorrinolaringología</v>
      </c>
      <c r="C128" s="675" t="s">
        <v>742</v>
      </c>
      <c r="D128" s="689" t="n">
        <f aca="false">IF(ISERROR(D132/D133),"",(D132/D133))</f>
        <v>0.594520547945205</v>
      </c>
      <c r="E128" s="677"/>
      <c r="F128" s="677"/>
      <c r="G128" s="690" t="inlineStr">
        <f aca="false">D128</f>
        <is>
          <t/>
        </is>
      </c>
      <c r="H128" s="688" t="n">
        <f aca="false">IF(ISERROR(D128/G128-1),"",D128/G128-1)</f>
        <v>0</v>
      </c>
    </row>
    <row collapsed="false" customFormat="false" customHeight="false" hidden="false" ht="14" outlineLevel="0" r="129">
      <c r="B129" s="680" t="str">
        <f aca="false">B124</f>
        <v>Otorrinolaringología</v>
      </c>
      <c r="C129" s="675" t="s">
        <v>743</v>
      </c>
      <c r="D129" s="678" t="n">
        <f aca="false">IF(ISERROR(D134/D126),"",ROUND(D134/D126,1))</f>
        <v>2.2</v>
      </c>
      <c r="E129" s="677"/>
      <c r="F129" s="677"/>
      <c r="G129" s="687" t="n">
        <f aca="false">D129</f>
        <v>2.2</v>
      </c>
      <c r="H129" s="688" t="n">
        <f aca="false">IF(ISERROR(D129/G129-1),"",D129/G129-1)</f>
        <v>0</v>
      </c>
    </row>
    <row collapsed="false" customFormat="false" customHeight="false" hidden="false" ht="14" outlineLevel="0" r="130">
      <c r="B130" s="680" t="str">
        <f aca="false">B124</f>
        <v>Otorrinolaringología</v>
      </c>
      <c r="C130" s="675" t="s">
        <v>744</v>
      </c>
      <c r="D130" s="691" t="n">
        <f aca="false">IF(ISERROR((D133-D132)/D126),"",IF(D133-D132&lt;0,0,(D133-D132)/D126))</f>
        <v>1.4394341290893</v>
      </c>
      <c r="E130" s="677"/>
      <c r="F130" s="677"/>
      <c r="G130" s="687" t="n">
        <f aca="false">D130</f>
        <v>1.4394341290893</v>
      </c>
      <c r="H130" s="688" t="n">
        <f aca="false">IF(ISERROR(D130/G130-1),"",D130/G130-1)</f>
        <v>0</v>
      </c>
    </row>
    <row collapsed="false" customFormat="false" customHeight="false" hidden="false" ht="14" outlineLevel="0" r="131">
      <c r="B131" s="680" t="str">
        <f aca="false">B124</f>
        <v>Otorrinolaringología</v>
      </c>
      <c r="C131" s="675" t="s">
        <v>333</v>
      </c>
      <c r="D131" s="678" t="n">
        <f aca="false">IF(ISERROR(D126/D124),"",ROUND(D126/D124,1))</f>
        <v>102.8</v>
      </c>
      <c r="E131" s="677"/>
      <c r="F131" s="677"/>
      <c r="G131" s="691" t="n">
        <f aca="false">IF(ISERROR((30/G129)*G128),"",(30/G129)*G128*$H$1)</f>
        <v>97.2851805728518</v>
      </c>
      <c r="H131" s="688" t="n">
        <f aca="false">IF(ISERROR(D131/G131-1),"",D131/G131-1)</f>
        <v>0.0566871479774707</v>
      </c>
    </row>
    <row collapsed="false" customFormat="false" customHeight="false" hidden="false" ht="14" outlineLevel="0" r="132">
      <c r="B132" s="680" t="str">
        <f aca="false">B124</f>
        <v>Otorrinolaringología</v>
      </c>
      <c r="C132" s="675" t="s">
        <v>750</v>
      </c>
      <c r="D132" s="681" t="n">
        <v>2387</v>
      </c>
      <c r="E132" s="677"/>
      <c r="F132" s="677"/>
      <c r="G132" s="678"/>
      <c r="H132" s="679"/>
    </row>
    <row collapsed="false" customFormat="false" customHeight="false" hidden="false" ht="14" outlineLevel="0" r="133">
      <c r="B133" s="680" t="str">
        <f aca="false">B124</f>
        <v>Otorrinolaringología</v>
      </c>
      <c r="C133" s="675" t="s">
        <v>747</v>
      </c>
      <c r="D133" s="692" t="n">
        <f aca="false">D124*13_Normas_Programacion!$C$4</f>
        <v>4015</v>
      </c>
      <c r="E133" s="677"/>
      <c r="F133" s="677"/>
      <c r="G133" s="678"/>
      <c r="H133" s="679"/>
    </row>
    <row collapsed="false" customFormat="false" customHeight="false" hidden="false" ht="14" outlineLevel="0" r="134">
      <c r="B134" s="680" t="str">
        <f aca="false">B124</f>
        <v>Otorrinolaringología</v>
      </c>
      <c r="C134" s="675" t="s">
        <v>748</v>
      </c>
      <c r="D134" s="681" t="n">
        <v>2489</v>
      </c>
      <c r="E134" s="677"/>
      <c r="F134" s="677"/>
      <c r="G134" s="678"/>
      <c r="H134" s="679"/>
    </row>
    <row collapsed="false" customFormat="false" customHeight="false" hidden="false" ht="14" outlineLevel="0" r="135">
      <c r="B135" s="680" t="str">
        <f aca="false">B124</f>
        <v>Otorrinolaringología</v>
      </c>
      <c r="C135" s="675" t="s">
        <v>751</v>
      </c>
      <c r="D135" s="694" t="n">
        <f aca="false">D132-D125</f>
        <v>1228</v>
      </c>
      <c r="E135" s="678" t="n">
        <f aca="false">13_Normas_Programacion!D48</f>
        <v>20</v>
      </c>
      <c r="F135" s="694" t="n">
        <f aca="false">D135*E135/60</f>
        <v>409.333333333333</v>
      </c>
      <c r="G135" s="678"/>
      <c r="H135" s="679"/>
    </row>
    <row collapsed="false" customFormat="false" customHeight="false" hidden="false" ht="14" outlineLevel="0" r="136">
      <c r="B136" s="674" t="str">
        <f aca="false">5_Produccion_Desagregada_09_10!C47</f>
        <v>Ortopedia</v>
      </c>
      <c r="C136" s="675" t="s">
        <v>739</v>
      </c>
      <c r="D136" s="676" t="n">
        <f aca="false">8_Inform_Camas_Quirof_Consul!E18</f>
        <v>23</v>
      </c>
      <c r="E136" s="677"/>
      <c r="F136" s="677"/>
      <c r="G136" s="678"/>
      <c r="H136" s="679"/>
    </row>
    <row collapsed="false" customFormat="false" customHeight="false" hidden="false" ht="14" outlineLevel="0" r="137">
      <c r="B137" s="680" t="str">
        <f aca="false">B136</f>
        <v>Ortopedia</v>
      </c>
      <c r="C137" s="675" t="s">
        <v>740</v>
      </c>
      <c r="D137" s="695" t="n">
        <v>737</v>
      </c>
      <c r="E137" s="678" t="str">
        <f aca="false">13_Normas_Programacion!D49</f>
        <v>N/D</v>
      </c>
      <c r="F137" s="682" t="e">
        <f aca="false">D137*E137/60</f>
        <v>#VALUE!</v>
      </c>
      <c r="G137" s="678"/>
      <c r="H137" s="679"/>
    </row>
    <row collapsed="false" customFormat="false" customHeight="false" hidden="false" ht="14" outlineLevel="0" r="138">
      <c r="B138" s="680" t="str">
        <f aca="false">B136</f>
        <v>Ortopedia</v>
      </c>
      <c r="C138" s="675" t="s">
        <v>172</v>
      </c>
      <c r="D138" s="683" t="n">
        <f aca="false">5_Produccion_Desagregada_09_10!F47</f>
        <v>706</v>
      </c>
      <c r="E138" s="677"/>
      <c r="F138" s="677"/>
      <c r="G138" s="685" t="n">
        <f aca="false">IF(ISERROR(D136*G143),"",D136*G143)</f>
        <v>667.851938210434</v>
      </c>
      <c r="H138" s="686" t="n">
        <f aca="false">IF(ISERROR(D138/G138-1),"",D138/G138-1)</f>
        <v>0.0571205376625645</v>
      </c>
    </row>
    <row collapsed="false" customFormat="false" customHeight="false" hidden="false" ht="14" outlineLevel="0" r="139">
      <c r="B139" s="680" t="str">
        <f aca="false">B136</f>
        <v>Ortopedia</v>
      </c>
      <c r="C139" s="675" t="s">
        <v>741</v>
      </c>
      <c r="D139" s="687" t="n">
        <f aca="false">IF(ISERROR(D137/D138),"",(D137/D138))</f>
        <v>1.04390934844193</v>
      </c>
      <c r="E139" s="677"/>
      <c r="F139" s="677"/>
      <c r="G139" s="682"/>
      <c r="H139" s="688"/>
    </row>
    <row collapsed="false" customFormat="false" customHeight="false" hidden="false" ht="14" outlineLevel="0" r="140">
      <c r="B140" s="680" t="str">
        <f aca="false">B136</f>
        <v>Ortopedia</v>
      </c>
      <c r="C140" s="675" t="s">
        <v>742</v>
      </c>
      <c r="D140" s="689" t="n">
        <f aca="false">IF(ISERROR(D144/D145),"",(D144/D145))</f>
        <v>0.758189398451459</v>
      </c>
      <c r="E140" s="677"/>
      <c r="F140" s="677"/>
      <c r="G140" s="690" t="inlineStr">
        <f aca="false">D140</f>
        <is>
          <t/>
        </is>
      </c>
      <c r="H140" s="688" t="n">
        <f aca="false">IF(ISERROR(D140/G140-1),"",D140/G140-1)</f>
        <v>0</v>
      </c>
    </row>
    <row collapsed="false" customFormat="false" customHeight="false" hidden="false" ht="14" outlineLevel="0" r="141">
      <c r="B141" s="680" t="str">
        <f aca="false">B136</f>
        <v>Ortopedia</v>
      </c>
      <c r="C141" s="675" t="s">
        <v>743</v>
      </c>
      <c r="D141" s="678" t="n">
        <f aca="false">IF(ISERROR(D146/D138),"",ROUND(D146/D138,1))</f>
        <v>9.4</v>
      </c>
      <c r="E141" s="677"/>
      <c r="F141" s="677"/>
      <c r="G141" s="687" t="n">
        <f aca="false">D141</f>
        <v>9.4</v>
      </c>
      <c r="H141" s="688" t="n">
        <f aca="false">IF(ISERROR(D141/G141-1),"",D141/G141-1)</f>
        <v>0</v>
      </c>
    </row>
    <row collapsed="false" customFormat="false" customHeight="false" hidden="false" ht="14" outlineLevel="0" r="142">
      <c r="B142" s="680" t="str">
        <f aca="false">B136</f>
        <v>Ortopedia</v>
      </c>
      <c r="C142" s="675" t="s">
        <v>744</v>
      </c>
      <c r="D142" s="691" t="n">
        <f aca="false">IF(ISERROR((D145-D144)/D138),"",IF(D145-D144&lt;0,0,(D145-D144)/D138))</f>
        <v>2.87535410764873</v>
      </c>
      <c r="E142" s="677"/>
      <c r="F142" s="677"/>
      <c r="G142" s="687" t="n">
        <f aca="false">D142</f>
        <v>2.87535410764873</v>
      </c>
      <c r="H142" s="688" t="n">
        <f aca="false">IF(ISERROR(D142/G142-1),"",D142/G142-1)</f>
        <v>0</v>
      </c>
    </row>
    <row collapsed="false" customFormat="false" customHeight="false" hidden="false" ht="14" outlineLevel="0" r="143">
      <c r="B143" s="680" t="str">
        <f aca="false">B136</f>
        <v>Ortopedia</v>
      </c>
      <c r="C143" s="675" t="s">
        <v>333</v>
      </c>
      <c r="D143" s="678" t="n">
        <f aca="false">IF(ISERROR(D138/D136),"",ROUND(D138/D136,1))</f>
        <v>30.7</v>
      </c>
      <c r="E143" s="677"/>
      <c r="F143" s="677"/>
      <c r="G143" s="691" t="n">
        <f aca="false">IF(ISERROR((30/G141)*G140),"",(30/G141)*G140*$H$1)</f>
        <v>29.037040791758</v>
      </c>
      <c r="H143" s="688" t="n">
        <f aca="false">IF(ISERROR(D143/G143-1),"",D143/G143-1)</f>
        <v>0.0572702714497688</v>
      </c>
    </row>
    <row collapsed="false" customFormat="false" customHeight="false" hidden="false" ht="14" outlineLevel="0" r="144">
      <c r="B144" s="680" t="str">
        <f aca="false">B136</f>
        <v>Ortopedia</v>
      </c>
      <c r="C144" s="675" t="s">
        <v>750</v>
      </c>
      <c r="D144" s="681" t="n">
        <v>6365</v>
      </c>
      <c r="E144" s="677"/>
      <c r="F144" s="677"/>
      <c r="G144" s="678"/>
      <c r="H144" s="679"/>
    </row>
    <row collapsed="false" customFormat="false" customHeight="false" hidden="false" ht="14" outlineLevel="0" r="145">
      <c r="B145" s="680" t="str">
        <f aca="false">B136</f>
        <v>Ortopedia</v>
      </c>
      <c r="C145" s="675" t="s">
        <v>747</v>
      </c>
      <c r="D145" s="692" t="n">
        <f aca="false">D136*13_Normas_Programacion!$C$4</f>
        <v>8395</v>
      </c>
      <c r="E145" s="677"/>
      <c r="F145" s="677"/>
      <c r="G145" s="678"/>
      <c r="H145" s="679"/>
    </row>
    <row collapsed="false" customFormat="false" customHeight="false" hidden="false" ht="14" outlineLevel="0" r="146">
      <c r="B146" s="680" t="str">
        <f aca="false">B136</f>
        <v>Ortopedia</v>
      </c>
      <c r="C146" s="675" t="s">
        <v>748</v>
      </c>
      <c r="D146" s="681" t="n">
        <v>6606</v>
      </c>
      <c r="E146" s="677"/>
      <c r="F146" s="677"/>
      <c r="G146" s="678"/>
      <c r="H146" s="679"/>
    </row>
    <row collapsed="false" customFormat="false" customHeight="false" hidden="false" ht="14" outlineLevel="0" r="147">
      <c r="B147" s="680" t="str">
        <f aca="false">B136</f>
        <v>Ortopedia</v>
      </c>
      <c r="C147" s="675" t="s">
        <v>751</v>
      </c>
      <c r="D147" s="694" t="n">
        <f aca="false">D144-D137</f>
        <v>5628</v>
      </c>
      <c r="E147" s="678" t="n">
        <f aca="false">13_Normas_Programacion!D50</f>
        <v>20</v>
      </c>
      <c r="F147" s="694" t="n">
        <f aca="false">D147*E147/60</f>
        <v>1876</v>
      </c>
      <c r="G147" s="678"/>
      <c r="H147" s="679"/>
    </row>
    <row collapsed="false" customFormat="false" customHeight="false" hidden="false" ht="22.35" outlineLevel="0" r="148">
      <c r="B148" s="674" t="str">
        <f aca="false">5_Produccion_Desagregada_09_10!C48</f>
        <v>Otros Servicios (Convenios / BM / ISSS)</v>
      </c>
      <c r="C148" s="675" t="s">
        <v>739</v>
      </c>
      <c r="D148" s="676" t="n">
        <f aca="false">8_Inform_Camas_Quirof_Consul!E19</f>
        <v>12</v>
      </c>
      <c r="E148" s="677"/>
      <c r="F148" s="677"/>
      <c r="G148" s="678"/>
      <c r="H148" s="679"/>
    </row>
    <row collapsed="false" customFormat="false" customHeight="false" hidden="false" ht="22.35" outlineLevel="0" r="149">
      <c r="B149" s="680" t="str">
        <f aca="false">B148</f>
        <v>Otros Servicios (Convenios / BM / ISSS)</v>
      </c>
      <c r="C149" s="675" t="s">
        <v>740</v>
      </c>
      <c r="D149" s="695" t="n">
        <v>1074</v>
      </c>
      <c r="E149" s="678" t="str">
        <f aca="false">13_Normas_Programacion!D57</f>
        <v>N/D</v>
      </c>
      <c r="F149" s="682" t="e">
        <f aca="false">D149*E149/60</f>
        <v>#VALUE!</v>
      </c>
      <c r="G149" s="678"/>
      <c r="H149" s="679"/>
    </row>
    <row collapsed="false" customFormat="false" customHeight="false" hidden="false" ht="22.35" outlineLevel="0" r="150">
      <c r="B150" s="680" t="str">
        <f aca="false">B148</f>
        <v>Otros Servicios (Convenios / BM / ISSS)</v>
      </c>
      <c r="C150" s="675" t="s">
        <v>172</v>
      </c>
      <c r="D150" s="683" t="n">
        <f aca="false">5_Produccion_Desagregada_09_10!F48</f>
        <v>1073</v>
      </c>
      <c r="E150" s="677"/>
      <c r="F150" s="677"/>
      <c r="G150" s="685" t="n">
        <f aca="false">IF(ISERROR(D148*G155),"",D148*G155)</f>
        <v>1043.38729763387</v>
      </c>
      <c r="H150" s="686" t="n">
        <f aca="false">IF(ISERROR(D150/G150-1),"",D150/G150-1)</f>
        <v>0.0283813138546738</v>
      </c>
    </row>
    <row collapsed="false" customFormat="false" customHeight="false" hidden="false" ht="22.35" outlineLevel="0" r="151">
      <c r="B151" s="680" t="str">
        <f aca="false">B148</f>
        <v>Otros Servicios (Convenios / BM / ISSS)</v>
      </c>
      <c r="C151" s="675" t="s">
        <v>741</v>
      </c>
      <c r="D151" s="687" t="n">
        <f aca="false">IF(ISERROR(D149/D150),"",(D149/D150))</f>
        <v>1.00093196644921</v>
      </c>
      <c r="E151" s="677"/>
      <c r="F151" s="677"/>
      <c r="G151" s="682"/>
      <c r="H151" s="688"/>
    </row>
    <row collapsed="false" customFormat="false" customHeight="false" hidden="false" ht="22.35" outlineLevel="0" r="152">
      <c r="B152" s="680" t="str">
        <f aca="false">B148</f>
        <v>Otros Servicios (Convenios / BM / ISSS)</v>
      </c>
      <c r="C152" s="675" t="s">
        <v>742</v>
      </c>
      <c r="D152" s="689" t="n">
        <f aca="false">IF(ISERROR(D156/D157),"",(D156/D157))</f>
        <v>0.79703196347032</v>
      </c>
      <c r="E152" s="677"/>
      <c r="F152" s="677"/>
      <c r="G152" s="690" t="inlineStr">
        <f aca="false">D152</f>
        <is>
          <t/>
        </is>
      </c>
      <c r="H152" s="688" t="n">
        <f aca="false">IF(ISERROR(D152/G152-1),"",D152/G152-1)</f>
        <v>0</v>
      </c>
    </row>
    <row collapsed="false" customFormat="false" customHeight="false" hidden="false" ht="22.35" outlineLevel="0" r="153">
      <c r="B153" s="680" t="str">
        <f aca="false">B148</f>
        <v>Otros Servicios (Convenios / BM / ISSS)</v>
      </c>
      <c r="C153" s="675" t="s">
        <v>743</v>
      </c>
      <c r="D153" s="678" t="n">
        <f aca="false">IF(ISERROR(D158/D150),"",ROUND(D158/D150,1))</f>
        <v>3.3</v>
      </c>
      <c r="E153" s="677"/>
      <c r="F153" s="677"/>
      <c r="G153" s="687" t="n">
        <f aca="false">D153</f>
        <v>3.3</v>
      </c>
      <c r="H153" s="688" t="n">
        <f aca="false">IF(ISERROR(D153/G153-1),"",D153/G153-1)</f>
        <v>0</v>
      </c>
    </row>
    <row collapsed="false" customFormat="false" customHeight="false" hidden="false" ht="22.35" outlineLevel="0" r="154">
      <c r="B154" s="680" t="str">
        <f aca="false">B148</f>
        <v>Otros Servicios (Convenios / BM / ISSS)</v>
      </c>
      <c r="C154" s="675" t="s">
        <v>744</v>
      </c>
      <c r="D154" s="691" t="n">
        <f aca="false">IF(ISERROR((D157-D156)/D150),"",IF(D157-D156&lt;0,0,(D157-D156)/D150))</f>
        <v>0.82851817334576</v>
      </c>
      <c r="E154" s="677"/>
      <c r="F154" s="677"/>
      <c r="G154" s="687" t="n">
        <f aca="false">D154</f>
        <v>0.82851817334576</v>
      </c>
      <c r="H154" s="688" t="n">
        <f aca="false">IF(ISERROR(D154/G154-1),"",D154/G154-1)</f>
        <v>0</v>
      </c>
    </row>
    <row collapsed="false" customFormat="false" customHeight="false" hidden="false" ht="22.35" outlineLevel="0" r="155">
      <c r="B155" s="680" t="str">
        <f aca="false">B148</f>
        <v>Otros Servicios (Convenios / BM / ISSS)</v>
      </c>
      <c r="C155" s="675" t="s">
        <v>333</v>
      </c>
      <c r="D155" s="678" t="n">
        <f aca="false">IF(ISERROR(D150/D148),"",ROUND(D150/D148,1))</f>
        <v>89.4</v>
      </c>
      <c r="E155" s="677"/>
      <c r="F155" s="677"/>
      <c r="G155" s="691" t="n">
        <f aca="false">IF(ISERROR((30/G153)*G152),"",(30/G153)*G152*$H$1)</f>
        <v>86.9489414694894</v>
      </c>
      <c r="H155" s="688" t="n">
        <f aca="false">IF(ISERROR(D155/G155-1),"",D155/G155-1)</f>
        <v>0.0281896304783729</v>
      </c>
    </row>
    <row collapsed="false" customFormat="false" customHeight="false" hidden="false" ht="22.35" outlineLevel="0" r="156">
      <c r="B156" s="680" t="str">
        <f aca="false">B148</f>
        <v>Otros Servicios (Convenios / BM / ISSS)</v>
      </c>
      <c r="C156" s="675" t="s">
        <v>750</v>
      </c>
      <c r="D156" s="681" t="n">
        <v>3491</v>
      </c>
      <c r="E156" s="677"/>
      <c r="F156" s="677"/>
      <c r="G156" s="678"/>
      <c r="H156" s="679"/>
    </row>
    <row collapsed="false" customFormat="false" customHeight="false" hidden="false" ht="22.35" outlineLevel="0" r="157">
      <c r="B157" s="680" t="str">
        <f aca="false">B148</f>
        <v>Otros Servicios (Convenios / BM / ISSS)</v>
      </c>
      <c r="C157" s="675" t="s">
        <v>747</v>
      </c>
      <c r="D157" s="692" t="n">
        <f aca="false">D148*13_Normas_Programacion!$C$4</f>
        <v>4380</v>
      </c>
      <c r="E157" s="677"/>
      <c r="F157" s="677"/>
      <c r="G157" s="678"/>
      <c r="H157" s="679"/>
    </row>
    <row collapsed="false" customFormat="false" customHeight="false" hidden="false" ht="22.35" outlineLevel="0" r="158">
      <c r="B158" s="680" t="str">
        <f aca="false">B148</f>
        <v>Otros Servicios (Convenios / BM / ISSS)</v>
      </c>
      <c r="C158" s="675" t="s">
        <v>748</v>
      </c>
      <c r="D158" s="681" t="n">
        <v>3585</v>
      </c>
      <c r="E158" s="677"/>
      <c r="F158" s="677"/>
      <c r="G158" s="678"/>
      <c r="H158" s="679"/>
    </row>
    <row collapsed="false" customFormat="false" customHeight="false" hidden="false" ht="22.35" outlineLevel="0" r="159">
      <c r="B159" s="680" t="str">
        <f aca="false">B148</f>
        <v>Otros Servicios (Convenios / BM / ISSS)</v>
      </c>
      <c r="C159" s="675" t="s">
        <v>751</v>
      </c>
      <c r="D159" s="694" t="n">
        <f aca="false">D156-D149</f>
        <v>2417</v>
      </c>
      <c r="E159" s="678" t="n">
        <f aca="false">13_Normas_Programacion!D58</f>
        <v>20</v>
      </c>
      <c r="F159" s="694" t="n">
        <f aca="false">D159*E159/60</f>
        <v>805.666666666667</v>
      </c>
      <c r="G159" s="678"/>
      <c r="H159" s="679"/>
    </row>
    <row collapsed="false" customFormat="false" customHeight="false" hidden="false" ht="14" outlineLevel="0" r="160">
      <c r="B160" s="696" t="s">
        <v>752</v>
      </c>
      <c r="C160" s="697" t="s">
        <v>739</v>
      </c>
      <c r="D160" s="677" t="n">
        <f aca="false">SUM(D4,D16,D28,D40,D52,D64,D76,D88,D100,D112,D124,D136,D148)</f>
        <v>289</v>
      </c>
      <c r="E160" s="698"/>
      <c r="F160" s="698"/>
      <c r="G160" s="678"/>
      <c r="H160" s="679"/>
    </row>
    <row collapsed="false" customFormat="false" customHeight="false" hidden="false" ht="14" outlineLevel="0" r="161">
      <c r="B161" s="696" t="str">
        <f aca="false">B160</f>
        <v>Total Hospital</v>
      </c>
      <c r="C161" s="697" t="s">
        <v>740</v>
      </c>
      <c r="D161" s="677" t="n">
        <f aca="false">SUM(D5,D17,D29,D41,D53,D65,D77,D89,D101,D113,D125,D137,D149)</f>
        <v>14603</v>
      </c>
      <c r="E161" s="698"/>
      <c r="F161" s="682" t="e">
        <f aca="false">SUM(F5,F17,F29,F41,F53,F65,F77)</f>
        <v>#VALUE!</v>
      </c>
      <c r="G161" s="678"/>
      <c r="H161" s="679"/>
    </row>
    <row collapsed="false" customFormat="false" customHeight="false" hidden="false" ht="14" outlineLevel="0" r="162">
      <c r="B162" s="696" t="str">
        <f aca="false">B160</f>
        <v>Total Hospital</v>
      </c>
      <c r="C162" s="697" t="s">
        <v>172</v>
      </c>
      <c r="D162" s="677" t="n">
        <f aca="false">SUM(D6,D18,D30,D42,D54,D66,D78,D90,D102,D114,D126,D138,D150)</f>
        <v>14427</v>
      </c>
      <c r="E162" s="698"/>
      <c r="F162" s="698"/>
      <c r="G162" s="699" t="n">
        <f aca="false">SUM(G6,G18,G30,G42,G54,G66,G78)</f>
        <v>6895.41748551032</v>
      </c>
      <c r="H162" s="700" t="n">
        <f aca="false">IF(ISERROR(D162/G162-1),"",D162/G162-1)</f>
        <v>1.0922591025585</v>
      </c>
    </row>
    <row collapsed="false" customFormat="false" customHeight="false" hidden="false" ht="14" outlineLevel="0" r="163">
      <c r="B163" s="696" t="str">
        <f aca="false">B160</f>
        <v>Total Hospital</v>
      </c>
      <c r="C163" s="697" t="s">
        <v>741</v>
      </c>
      <c r="D163" s="701" t="n">
        <f aca="false">IF(ISERROR(D161/D162),"",(D161/D162))</f>
        <v>1.01219934844389</v>
      </c>
      <c r="E163" s="698"/>
      <c r="F163" s="702"/>
      <c r="G163" s="703"/>
      <c r="H163" s="704"/>
    </row>
    <row collapsed="false" customFormat="false" customHeight="false" hidden="false" ht="14" outlineLevel="0" r="164">
      <c r="B164" s="696" t="str">
        <f aca="false">B160</f>
        <v>Total Hospital</v>
      </c>
      <c r="C164" s="697" t="s">
        <v>742</v>
      </c>
      <c r="D164" s="705" t="n">
        <f aca="false">IF(ISERROR(D168/D169),"",(D168/D169))</f>
        <v>0.838176043987297</v>
      </c>
      <c r="E164" s="698"/>
      <c r="F164" s="702"/>
      <c r="G164" s="706"/>
      <c r="H164" s="706"/>
    </row>
    <row collapsed="false" customFormat="false" customHeight="false" hidden="false" ht="14" outlineLevel="0" r="165">
      <c r="B165" s="696" t="str">
        <f aca="false">B160</f>
        <v>Total Hospital</v>
      </c>
      <c r="C165" s="697" t="s">
        <v>743</v>
      </c>
      <c r="D165" s="677" t="n">
        <f aca="false">IF(ISERROR(D170/D162),"",ROUND(D170/D162,1))</f>
        <v>7.3</v>
      </c>
      <c r="E165" s="698"/>
      <c r="F165" s="702"/>
      <c r="G165" s="706"/>
      <c r="H165" s="706"/>
    </row>
    <row collapsed="false" customFormat="false" customHeight="false" hidden="false" ht="14" outlineLevel="0" r="166">
      <c r="B166" s="696" t="str">
        <f aca="false">B160</f>
        <v>Total Hospital</v>
      </c>
      <c r="C166" s="697" t="s">
        <v>744</v>
      </c>
      <c r="D166" s="707" t="n">
        <f aca="false">IF(ISERROR((D169-D168)/D162),"",(D169-D168)/D162)</f>
        <v>1.18319817009773</v>
      </c>
      <c r="E166" s="698"/>
      <c r="F166" s="702"/>
      <c r="G166" s="706"/>
      <c r="H166" s="706"/>
    </row>
    <row collapsed="false" customFormat="false" customHeight="false" hidden="false" ht="14" outlineLevel="0" r="167">
      <c r="B167" s="696" t="str">
        <f aca="false">B160</f>
        <v>Total Hospital</v>
      </c>
      <c r="C167" s="697" t="s">
        <v>333</v>
      </c>
      <c r="D167" s="677" t="n">
        <f aca="false">IF(ISERROR(D162/D160),"",ROUND(D162/D160,1))</f>
        <v>49.9</v>
      </c>
      <c r="E167" s="698"/>
      <c r="F167" s="702"/>
      <c r="G167" s="706"/>
      <c r="H167" s="706"/>
    </row>
    <row collapsed="false" customFormat="false" customHeight="false" hidden="false" ht="14" outlineLevel="0" r="168">
      <c r="B168" s="696" t="str">
        <f aca="false">B160</f>
        <v>Total Hospital</v>
      </c>
      <c r="C168" s="697" t="s">
        <v>750</v>
      </c>
      <c r="D168" s="677" t="n">
        <f aca="false">SUM(D12,D24,D36,D48,D60,D72,D84,D96,D108,D120,D132,D144,D156)</f>
        <v>88415</v>
      </c>
      <c r="E168" s="698"/>
      <c r="F168" s="702"/>
      <c r="G168" s="706"/>
      <c r="H168" s="706"/>
    </row>
    <row collapsed="false" customFormat="false" customHeight="false" hidden="false" ht="14" outlineLevel="0" r="169">
      <c r="B169" s="696" t="str">
        <f aca="false">B160</f>
        <v>Total Hospital</v>
      </c>
      <c r="C169" s="697" t="s">
        <v>747</v>
      </c>
      <c r="D169" s="677" t="n">
        <f aca="false">SUM(D13,D25,D37,D49,D61,D73,D85,D97,D109,D121,D133,D145,D157)</f>
        <v>105485</v>
      </c>
      <c r="E169" s="698"/>
      <c r="F169" s="702"/>
      <c r="G169" s="706"/>
      <c r="H169" s="706"/>
    </row>
    <row collapsed="false" customFormat="false" customHeight="false" hidden="false" ht="14" outlineLevel="0" r="170">
      <c r="B170" s="696" t="str">
        <f aca="false">B160</f>
        <v>Total Hospital</v>
      </c>
      <c r="C170" s="697" t="s">
        <v>748</v>
      </c>
      <c r="D170" s="677" t="n">
        <f aca="false">SUM(D14,D26,D38,D50,D62,D74,D86,D98,D110,D122,D134,D146,D158)</f>
        <v>104920</v>
      </c>
      <c r="E170" s="698"/>
      <c r="F170" s="702"/>
      <c r="G170" s="706"/>
      <c r="H170" s="706"/>
    </row>
    <row collapsed="false" customFormat="false" customHeight="false" hidden="false" ht="14" outlineLevel="0" r="171">
      <c r="B171" s="708" t="str">
        <f aca="false">B160</f>
        <v>Total Hospital</v>
      </c>
      <c r="C171" s="709" t="s">
        <v>751</v>
      </c>
      <c r="D171" s="710" t="n">
        <f aca="false">D168-D161</f>
        <v>73812</v>
      </c>
      <c r="E171" s="711" t="n">
        <f aca="false">AVERAGE(E15,E27,E39,E51,E63,E75,E87)</f>
        <v>20</v>
      </c>
      <c r="F171" s="712" t="n">
        <f aca="false">D171*E171/60</f>
        <v>24604</v>
      </c>
      <c r="G171" s="706"/>
      <c r="H171" s="706"/>
    </row>
  </sheetData>
  <mergeCells count="1">
    <mergeCell ref="B1:F1"/>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I65536"/>
  <sheetViews>
    <sheetView colorId="64" defaultGridColor="true" rightToLeft="false" showFormulas="false" showGridLines="false" showOutlineSymbols="true" showRowColHeaders="true" showZeros="true" tabSelected="false" topLeftCell="A1" view="normal" windowProtection="false" workbookViewId="0" zoomScale="110" zoomScaleNormal="110" zoomScalePageLayoutView="100">
      <selection activeCell="B79" activeCellId="0" pane="topLeft" sqref="B79"/>
    </sheetView>
  </sheetViews>
  <cols>
    <col collapsed="false" hidden="false" max="1" min="1" style="7" width="43.6078431372549"/>
    <col collapsed="false" hidden="false" max="2" min="2" style="7" width="4.0156862745098"/>
    <col collapsed="false" hidden="false" max="6" min="3" style="7" width="15.7764705882353"/>
    <col collapsed="false" hidden="false" max="7" min="7" style="7" width="5.73725490196078"/>
    <col collapsed="false" hidden="false" max="8" min="8" style="7" width="10.8980392156863"/>
    <col collapsed="false" hidden="false" max="257" min="9" style="7" width="11.4745098039216"/>
  </cols>
  <sheetData>
    <row collapsed="false" customFormat="false" customHeight="true" hidden="false" ht="18" outlineLevel="0" r="1">
      <c r="A1" s="8" t="s">
        <v>6</v>
      </c>
      <c r="B1" s="8"/>
      <c r="C1" s="8"/>
      <c r="D1" s="8"/>
      <c r="E1" s="8"/>
      <c r="F1" s="8"/>
      <c r="G1" s="8"/>
      <c r="H1" s="8"/>
    </row>
    <row collapsed="false" customFormat="false" customHeight="true" hidden="false" ht="18" outlineLevel="0" r="2">
      <c r="A2" s="9" t="s">
        <v>7</v>
      </c>
      <c r="B2" s="9"/>
      <c r="C2" s="9"/>
      <c r="D2" s="9"/>
      <c r="E2" s="9"/>
      <c r="F2" s="9"/>
      <c r="G2" s="9"/>
      <c r="H2" s="9"/>
    </row>
    <row collapsed="false" customFormat="false" customHeight="true" hidden="false" ht="18" outlineLevel="0" r="3">
      <c r="A3" s="10" t="s">
        <v>8</v>
      </c>
      <c r="B3" s="10"/>
      <c r="C3" s="10"/>
      <c r="D3" s="10"/>
      <c r="E3" s="10"/>
      <c r="F3" s="10"/>
      <c r="G3" s="10"/>
      <c r="H3" s="10"/>
      <c r="I3" s="11"/>
    </row>
    <row collapsed="false" customFormat="false" customHeight="true" hidden="false" ht="18" outlineLevel="0" r="4">
      <c r="A4" s="10" t="s">
        <v>9</v>
      </c>
      <c r="B4" s="10"/>
      <c r="C4" s="10"/>
      <c r="D4" s="10"/>
      <c r="E4" s="10"/>
      <c r="F4" s="10"/>
      <c r="G4" s="10"/>
      <c r="H4" s="10"/>
      <c r="I4" s="11"/>
    </row>
    <row collapsed="false" customFormat="false" customHeight="true" hidden="false" ht="24.75" outlineLevel="0" r="5">
      <c r="A5" s="12" t="s">
        <v>10</v>
      </c>
      <c r="B5" s="12"/>
      <c r="C5" s="12"/>
      <c r="D5" s="12"/>
      <c r="E5" s="12"/>
      <c r="F5" s="12"/>
      <c r="G5" s="12"/>
      <c r="H5" s="12"/>
    </row>
    <row collapsed="false" customFormat="false" customHeight="true" hidden="false" ht="3.75" outlineLevel="0" r="6">
      <c r="A6" s="12"/>
      <c r="B6" s="12"/>
      <c r="C6" s="12"/>
      <c r="D6" s="12"/>
      <c r="E6" s="12"/>
      <c r="F6" s="12"/>
      <c r="G6" s="12"/>
      <c r="H6" s="12"/>
    </row>
    <row collapsed="false" customFormat="false" customHeight="true" hidden="false" ht="20.1" outlineLevel="0" r="7">
      <c r="A7" s="13" t="s">
        <v>11</v>
      </c>
      <c r="B7" s="14"/>
      <c r="C7" s="15" t="s">
        <v>12</v>
      </c>
      <c r="D7" s="15"/>
      <c r="E7" s="15"/>
      <c r="F7" s="15"/>
      <c r="G7" s="15"/>
      <c r="H7" s="15"/>
    </row>
    <row collapsed="false" customFormat="false" customHeight="true" hidden="false" ht="4.5" outlineLevel="0" r="8">
      <c r="A8" s="16"/>
      <c r="B8" s="16"/>
      <c r="C8" s="17"/>
      <c r="D8" s="17"/>
      <c r="E8" s="17"/>
      <c r="F8" s="17"/>
      <c r="G8" s="17"/>
      <c r="H8" s="17"/>
      <c r="I8" s="17"/>
    </row>
    <row collapsed="false" customFormat="false" customHeight="true" hidden="false" ht="19.5" outlineLevel="0" r="9">
      <c r="A9" s="13" t="s">
        <v>13</v>
      </c>
      <c r="B9" s="14"/>
      <c r="C9" s="15" t="s">
        <v>14</v>
      </c>
      <c r="D9" s="15"/>
      <c r="E9" s="15"/>
      <c r="F9" s="15"/>
      <c r="G9" s="15"/>
      <c r="H9" s="15"/>
      <c r="I9" s="17"/>
    </row>
    <row collapsed="false" customFormat="false" customHeight="true" hidden="false" ht="4.5" outlineLevel="0" r="10">
      <c r="A10" s="16"/>
      <c r="B10" s="16"/>
      <c r="C10" s="17"/>
      <c r="D10" s="17"/>
      <c r="E10" s="17"/>
      <c r="F10" s="17"/>
      <c r="G10" s="17"/>
      <c r="H10" s="17"/>
      <c r="I10" s="17"/>
    </row>
    <row collapsed="false" customFormat="false" customHeight="true" hidden="false" ht="20.1" outlineLevel="0" r="11">
      <c r="A11" s="13" t="s">
        <v>15</v>
      </c>
      <c r="B11" s="18"/>
      <c r="C11" s="15" t="s">
        <v>16</v>
      </c>
      <c r="D11" s="15"/>
      <c r="E11" s="15"/>
      <c r="F11" s="15"/>
      <c r="G11" s="15"/>
      <c r="H11" s="15"/>
    </row>
    <row collapsed="false" customFormat="false" customHeight="true" hidden="false" ht="4.5" outlineLevel="0" r="12">
      <c r="A12" s="16"/>
      <c r="B12" s="16"/>
      <c r="C12" s="17"/>
      <c r="D12" s="17"/>
      <c r="E12" s="17"/>
      <c r="F12" s="17"/>
      <c r="G12" s="17"/>
      <c r="H12" s="17"/>
      <c r="I12" s="17"/>
    </row>
    <row collapsed="false" customFormat="false" customHeight="true" hidden="false" ht="20.1" outlineLevel="0" r="13">
      <c r="A13" s="13" t="s">
        <v>17</v>
      </c>
      <c r="B13" s="14"/>
      <c r="C13" s="15" t="s">
        <v>18</v>
      </c>
      <c r="D13" s="15"/>
      <c r="E13" s="15"/>
      <c r="F13" s="15"/>
      <c r="G13" s="17"/>
      <c r="H13" s="17"/>
      <c r="I13" s="17"/>
    </row>
    <row collapsed="false" customFormat="false" customHeight="true" hidden="false" ht="4.5" outlineLevel="0" r="14">
      <c r="A14" s="17"/>
      <c r="B14" s="17"/>
      <c r="C14" s="17"/>
      <c r="D14" s="17"/>
      <c r="E14" s="17"/>
      <c r="F14" s="17"/>
      <c r="G14" s="17"/>
      <c r="H14" s="17"/>
      <c r="I14" s="17"/>
    </row>
    <row collapsed="false" customFormat="false" customHeight="true" hidden="false" ht="20.1" outlineLevel="0" r="15">
      <c r="A15" s="13" t="s">
        <v>19</v>
      </c>
      <c r="B15" s="14"/>
      <c r="C15" s="19" t="s">
        <v>20</v>
      </c>
      <c r="D15" s="19"/>
      <c r="E15" s="19"/>
      <c r="F15" s="19"/>
      <c r="G15" s="20"/>
      <c r="H15" s="20"/>
      <c r="I15" s="17"/>
    </row>
    <row collapsed="false" customFormat="false" customHeight="true" hidden="false" ht="4.5" outlineLevel="0" r="16">
      <c r="A16" s="14"/>
      <c r="B16" s="14"/>
      <c r="C16" s="14"/>
      <c r="D16" s="14"/>
      <c r="E16" s="14"/>
      <c r="F16" s="14"/>
      <c r="G16" s="14"/>
      <c r="H16" s="14"/>
      <c r="I16" s="17"/>
    </row>
    <row collapsed="false" customFormat="false" customHeight="true" hidden="false" ht="20.1" outlineLevel="0" r="17">
      <c r="A17" s="13" t="s">
        <v>21</v>
      </c>
      <c r="B17" s="14"/>
      <c r="C17" s="15" t="s">
        <v>22</v>
      </c>
      <c r="D17" s="15"/>
      <c r="E17" s="15"/>
      <c r="F17" s="15"/>
      <c r="G17" s="20"/>
      <c r="H17" s="20"/>
    </row>
    <row collapsed="false" customFormat="false" customHeight="true" hidden="false" ht="4.5" outlineLevel="0" r="18">
      <c r="A18" s="16"/>
      <c r="B18" s="16"/>
      <c r="C18" s="17"/>
      <c r="D18" s="17"/>
      <c r="E18" s="17"/>
      <c r="F18" s="17"/>
      <c r="G18" s="17"/>
      <c r="H18" s="17"/>
      <c r="I18" s="17"/>
    </row>
    <row collapsed="false" customFormat="false" customHeight="true" hidden="false" ht="23.25" outlineLevel="0" r="19">
      <c r="A19" s="13" t="s">
        <v>23</v>
      </c>
      <c r="B19" s="14"/>
      <c r="C19" s="21" t="n">
        <v>40647</v>
      </c>
      <c r="D19" s="22" t="s">
        <v>24</v>
      </c>
      <c r="E19" s="22"/>
      <c r="F19" s="23"/>
      <c r="I19" s="17"/>
    </row>
    <row collapsed="false" customFormat="false" customHeight="true" hidden="false" ht="9.95" outlineLevel="0" r="20">
      <c r="A20" s="16"/>
      <c r="B20" s="16"/>
      <c r="C20" s="17"/>
      <c r="D20" s="17"/>
      <c r="E20" s="17"/>
      <c r="F20" s="17"/>
      <c r="G20" s="17"/>
      <c r="H20" s="17"/>
      <c r="I20" s="17"/>
    </row>
    <row collapsed="false" customFormat="false" customHeight="true" hidden="false" ht="21" outlineLevel="0" r="21">
      <c r="A21" s="14"/>
      <c r="B21" s="14"/>
      <c r="C21" s="24" t="s">
        <v>25</v>
      </c>
      <c r="D21" s="24"/>
      <c r="E21" s="24"/>
      <c r="F21" s="24"/>
      <c r="G21" s="24"/>
      <c r="H21" s="24" t="s">
        <v>26</v>
      </c>
    </row>
    <row collapsed="false" customFormat="false" customHeight="true" hidden="false" ht="30" outlineLevel="0" r="22">
      <c r="A22" s="25" t="s">
        <v>27</v>
      </c>
      <c r="B22" s="12" t="n">
        <v>1</v>
      </c>
      <c r="C22" s="15" t="s">
        <v>28</v>
      </c>
      <c r="D22" s="15"/>
      <c r="E22" s="15"/>
      <c r="F22" s="15"/>
      <c r="G22" s="24"/>
      <c r="H22" s="26" t="n">
        <v>4</v>
      </c>
      <c r="I22" s="17"/>
    </row>
    <row collapsed="false" customFormat="false" customHeight="true" hidden="false" ht="4.5" outlineLevel="0" r="23">
      <c r="A23" s="25"/>
      <c r="B23" s="27"/>
      <c r="C23" s="12"/>
      <c r="D23" s="12"/>
      <c r="E23" s="12"/>
      <c r="F23" s="12"/>
      <c r="G23" s="24"/>
      <c r="H23" s="28"/>
      <c r="I23" s="17"/>
    </row>
    <row collapsed="false" customFormat="false" customHeight="true" hidden="false" ht="30" outlineLevel="0" r="24">
      <c r="A24" s="25"/>
      <c r="B24" s="12" t="n">
        <v>2</v>
      </c>
      <c r="C24" s="15" t="s">
        <v>29</v>
      </c>
      <c r="D24" s="15"/>
      <c r="E24" s="15"/>
      <c r="F24" s="15"/>
      <c r="G24" s="24"/>
      <c r="H24" s="26" t="n">
        <v>2</v>
      </c>
      <c r="I24" s="17"/>
    </row>
    <row collapsed="false" customFormat="false" customHeight="true" hidden="false" ht="4.5" outlineLevel="0" r="25">
      <c r="A25" s="25"/>
      <c r="B25" s="27"/>
      <c r="C25" s="12"/>
      <c r="D25" s="12"/>
      <c r="E25" s="12"/>
      <c r="F25" s="12"/>
      <c r="G25" s="24"/>
      <c r="H25" s="28"/>
      <c r="I25" s="17"/>
    </row>
    <row collapsed="false" customFormat="false" customHeight="true" hidden="false" ht="30" outlineLevel="0" r="26">
      <c r="A26" s="25"/>
      <c r="B26" s="12" t="n">
        <v>3</v>
      </c>
      <c r="C26" s="15" t="s">
        <v>30</v>
      </c>
      <c r="D26" s="15"/>
      <c r="E26" s="15"/>
      <c r="F26" s="15"/>
      <c r="G26" s="24"/>
      <c r="H26" s="26" t="n">
        <v>7</v>
      </c>
      <c r="I26" s="17"/>
    </row>
    <row collapsed="false" customFormat="false" customHeight="true" hidden="false" ht="4.5" outlineLevel="0" r="27">
      <c r="A27" s="25"/>
      <c r="B27" s="27"/>
      <c r="C27" s="29"/>
      <c r="D27" s="29"/>
      <c r="E27" s="29"/>
      <c r="F27" s="29"/>
      <c r="G27" s="30"/>
      <c r="H27" s="28" t="n">
        <v>7</v>
      </c>
      <c r="I27" s="17"/>
    </row>
    <row collapsed="false" customFormat="false" customHeight="true" hidden="false" ht="30" outlineLevel="0" r="28">
      <c r="A28" s="31" t="s">
        <v>31</v>
      </c>
      <c r="B28" s="12" t="n">
        <v>4</v>
      </c>
      <c r="C28" s="15" t="s">
        <v>32</v>
      </c>
      <c r="D28" s="15"/>
      <c r="E28" s="15"/>
      <c r="F28" s="15"/>
      <c r="G28" s="24"/>
      <c r="H28" s="26" t="n">
        <v>7</v>
      </c>
      <c r="I28" s="17"/>
    </row>
    <row collapsed="false" customFormat="false" customHeight="true" hidden="false" ht="4.5" outlineLevel="0" r="29">
      <c r="A29" s="25"/>
      <c r="B29" s="27"/>
      <c r="C29" s="29"/>
      <c r="D29" s="29"/>
      <c r="E29" s="29"/>
      <c r="F29" s="29"/>
      <c r="G29" s="24"/>
      <c r="H29" s="28"/>
      <c r="I29" s="17"/>
    </row>
    <row collapsed="false" customFormat="false" customHeight="true" hidden="false" ht="30" outlineLevel="0" r="30">
      <c r="B30" s="12" t="n">
        <v>5</v>
      </c>
      <c r="C30" s="15" t="s">
        <v>33</v>
      </c>
      <c r="D30" s="15"/>
      <c r="E30" s="15"/>
      <c r="F30" s="15"/>
      <c r="G30" s="24"/>
      <c r="H30" s="26" t="n">
        <v>8</v>
      </c>
      <c r="I30" s="17"/>
    </row>
    <row collapsed="false" customFormat="false" customHeight="true" hidden="false" ht="4.5" outlineLevel="0" r="31">
      <c r="A31" s="25"/>
      <c r="B31" s="27"/>
      <c r="C31" s="29"/>
      <c r="D31" s="29"/>
      <c r="E31" s="29"/>
      <c r="F31" s="29"/>
      <c r="G31" s="30"/>
      <c r="H31" s="28"/>
      <c r="I31" s="17"/>
    </row>
    <row collapsed="false" customFormat="false" customHeight="true" hidden="false" ht="30" outlineLevel="0" r="32">
      <c r="B32" s="12" t="n">
        <v>6</v>
      </c>
      <c r="C32" s="15" t="s">
        <v>34</v>
      </c>
      <c r="D32" s="15"/>
      <c r="E32" s="15"/>
      <c r="F32" s="15"/>
      <c r="G32" s="24"/>
      <c r="H32" s="26" t="n">
        <v>6</v>
      </c>
      <c r="I32" s="17"/>
    </row>
    <row collapsed="false" customFormat="false" customHeight="true" hidden="false" ht="4.5" outlineLevel="0" r="33">
      <c r="A33" s="25"/>
      <c r="B33" s="27"/>
      <c r="C33" s="29"/>
      <c r="D33" s="29"/>
      <c r="E33" s="29"/>
      <c r="F33" s="29"/>
      <c r="G33" s="17"/>
      <c r="H33" s="28"/>
    </row>
    <row collapsed="false" customFormat="false" customHeight="true" hidden="false" ht="30" outlineLevel="0" r="34">
      <c r="A34" s="31" t="s">
        <v>35</v>
      </c>
      <c r="B34" s="12" t="n">
        <v>7</v>
      </c>
      <c r="C34" s="15" t="s">
        <v>36</v>
      </c>
      <c r="D34" s="15"/>
      <c r="E34" s="15"/>
      <c r="F34" s="15"/>
      <c r="G34" s="17"/>
      <c r="H34" s="26" t="n">
        <v>17</v>
      </c>
    </row>
    <row collapsed="false" customFormat="false" customHeight="true" hidden="false" ht="4.5" outlineLevel="0" r="35">
      <c r="A35" s="25"/>
      <c r="B35" s="27"/>
      <c r="C35" s="29"/>
      <c r="D35" s="29"/>
      <c r="E35" s="29"/>
      <c r="F35" s="29"/>
      <c r="G35" s="17"/>
      <c r="H35" s="28"/>
    </row>
    <row collapsed="false" customFormat="false" customHeight="true" hidden="false" ht="30" outlineLevel="0" r="36">
      <c r="A36" s="25"/>
      <c r="B36" s="12" t="n">
        <v>8</v>
      </c>
      <c r="C36" s="15" t="s">
        <v>37</v>
      </c>
      <c r="D36" s="15"/>
      <c r="E36" s="15"/>
      <c r="F36" s="15"/>
      <c r="G36" s="17"/>
      <c r="H36" s="26" t="n">
        <v>7</v>
      </c>
    </row>
    <row collapsed="false" customFormat="false" customHeight="true" hidden="false" ht="4.5" outlineLevel="0" r="37">
      <c r="C37" s="12"/>
      <c r="D37" s="12"/>
      <c r="E37" s="12"/>
      <c r="F37" s="12"/>
    </row>
    <row collapsed="false" customFormat="false" customHeight="true" hidden="false" ht="30" outlineLevel="0" r="38">
      <c r="B38" s="12" t="n">
        <v>9</v>
      </c>
      <c r="C38" s="15" t="s">
        <v>38</v>
      </c>
      <c r="D38" s="15"/>
      <c r="E38" s="15"/>
      <c r="F38" s="15"/>
      <c r="G38" s="24"/>
      <c r="H38" s="26" t="n">
        <v>14</v>
      </c>
      <c r="I38" s="17"/>
    </row>
    <row collapsed="false" customFormat="false" customHeight="true" hidden="false" ht="4.5" outlineLevel="0" r="39">
      <c r="A39" s="32"/>
      <c r="B39" s="27"/>
      <c r="C39" s="29"/>
      <c r="D39" s="29"/>
      <c r="E39" s="29"/>
      <c r="F39" s="29"/>
      <c r="G39" s="24"/>
      <c r="H39" s="28"/>
      <c r="I39" s="17"/>
    </row>
    <row collapsed="false" customFormat="false" customHeight="true" hidden="false" ht="30" outlineLevel="0" r="40">
      <c r="B40" s="12" t="n">
        <v>10</v>
      </c>
      <c r="C40" s="15" t="s">
        <v>39</v>
      </c>
      <c r="D40" s="15"/>
      <c r="E40" s="15"/>
      <c r="F40" s="15"/>
      <c r="G40" s="24"/>
      <c r="H40" s="26" t="n">
        <v>6</v>
      </c>
      <c r="I40" s="17"/>
    </row>
    <row collapsed="false" customFormat="false" customHeight="true" hidden="false" ht="4.5" outlineLevel="0" r="41">
      <c r="A41" s="25"/>
      <c r="B41" s="27"/>
      <c r="C41" s="29"/>
      <c r="D41" s="29"/>
      <c r="E41" s="29"/>
      <c r="F41" s="29"/>
      <c r="G41" s="30"/>
      <c r="H41" s="28"/>
      <c r="I41" s="17"/>
    </row>
    <row collapsed="false" customFormat="false" customHeight="true" hidden="false" ht="30" outlineLevel="0" r="42">
      <c r="A42" s="31"/>
      <c r="B42" s="12" t="n">
        <v>11</v>
      </c>
      <c r="C42" s="15" t="s">
        <v>40</v>
      </c>
      <c r="D42" s="15"/>
      <c r="E42" s="15"/>
      <c r="F42" s="15"/>
      <c r="G42" s="24"/>
      <c r="H42" s="26" t="n">
        <v>6</v>
      </c>
      <c r="I42" s="17"/>
    </row>
    <row collapsed="false" customFormat="false" customHeight="true" hidden="false" ht="4.5" outlineLevel="0" r="43">
      <c r="A43" s="25"/>
      <c r="B43" s="27"/>
      <c r="C43" s="29"/>
      <c r="D43" s="29"/>
      <c r="E43" s="29"/>
      <c r="F43" s="29"/>
      <c r="G43" s="24"/>
      <c r="H43" s="28"/>
      <c r="I43" s="17"/>
    </row>
    <row collapsed="false" customFormat="false" customHeight="true" hidden="false" ht="30" outlineLevel="0" r="44">
      <c r="B44" s="12" t="n">
        <v>12</v>
      </c>
      <c r="C44" s="15" t="s">
        <v>41</v>
      </c>
      <c r="D44" s="15"/>
      <c r="E44" s="15"/>
      <c r="F44" s="15"/>
      <c r="G44" s="24"/>
      <c r="H44" s="26" t="n">
        <v>5</v>
      </c>
      <c r="I44" s="17"/>
    </row>
    <row collapsed="false" customFormat="false" customHeight="true" hidden="false" ht="4.5" outlineLevel="0" r="45">
      <c r="A45" s="25"/>
      <c r="B45" s="27"/>
      <c r="G45" s="30"/>
      <c r="H45" s="28"/>
      <c r="I45" s="17"/>
    </row>
    <row collapsed="false" customFormat="false" customHeight="true" hidden="false" ht="30" outlineLevel="0" r="46">
      <c r="B46" s="12" t="n">
        <v>13</v>
      </c>
      <c r="C46" s="15" t="s">
        <v>42</v>
      </c>
      <c r="D46" s="15"/>
      <c r="E46" s="15"/>
      <c r="F46" s="15"/>
      <c r="G46" s="24"/>
      <c r="H46" s="26" t="n">
        <v>7</v>
      </c>
      <c r="I46" s="17"/>
    </row>
    <row collapsed="false" customFormat="false" customHeight="true" hidden="false" ht="4.5" outlineLevel="0" r="47">
      <c r="A47" s="25"/>
      <c r="B47" s="27"/>
      <c r="C47" s="12"/>
      <c r="D47" s="12"/>
      <c r="E47" s="12"/>
      <c r="F47" s="12"/>
      <c r="G47" s="17"/>
      <c r="H47" s="28"/>
    </row>
    <row collapsed="false" customFormat="false" customHeight="true" hidden="false" ht="30" outlineLevel="0" r="48">
      <c r="A48" s="31"/>
      <c r="B48" s="12" t="n">
        <v>14</v>
      </c>
      <c r="C48" s="15" t="s">
        <v>43</v>
      </c>
      <c r="D48" s="15"/>
      <c r="E48" s="15"/>
      <c r="F48" s="15"/>
      <c r="G48" s="17"/>
      <c r="H48" s="26" t="n">
        <v>2</v>
      </c>
    </row>
    <row collapsed="false" customFormat="false" customHeight="true" hidden="false" ht="4.5" outlineLevel="0" r="49">
      <c r="A49" s="25"/>
      <c r="B49" s="27"/>
      <c r="C49" s="29"/>
      <c r="D49" s="29"/>
      <c r="E49" s="29"/>
      <c r="F49" s="29"/>
      <c r="G49" s="17"/>
      <c r="H49" s="28"/>
    </row>
    <row collapsed="false" customFormat="false" customHeight="true" hidden="false" ht="30" outlineLevel="0" r="50">
      <c r="A50" s="25"/>
      <c r="B50" s="12" t="n">
        <v>15</v>
      </c>
      <c r="C50" s="15" t="s">
        <v>44</v>
      </c>
      <c r="D50" s="15"/>
      <c r="E50" s="15"/>
      <c r="F50" s="15"/>
      <c r="G50" s="17"/>
      <c r="H50" s="26" t="n">
        <v>4</v>
      </c>
    </row>
    <row collapsed="false" customFormat="false" customHeight="true" hidden="false" ht="4.5" outlineLevel="0" r="51">
      <c r="C51" s="29"/>
      <c r="D51" s="29"/>
      <c r="E51" s="29"/>
      <c r="F51" s="29"/>
    </row>
    <row collapsed="false" customFormat="false" customHeight="true" hidden="false" ht="30" outlineLevel="0" r="52">
      <c r="B52" s="12" t="n">
        <v>16</v>
      </c>
      <c r="C52" s="15" t="s">
        <v>45</v>
      </c>
      <c r="D52" s="15"/>
      <c r="E52" s="15"/>
      <c r="F52" s="15"/>
      <c r="G52" s="24"/>
      <c r="H52" s="26" t="n">
        <v>13</v>
      </c>
      <c r="I52" s="17"/>
    </row>
    <row collapsed="false" customFormat="false" customHeight="true" hidden="false" ht="4.5" outlineLevel="0" r="53">
      <c r="B53" s="27"/>
      <c r="C53" s="29"/>
      <c r="D53" s="29"/>
      <c r="E53" s="29"/>
      <c r="F53" s="29"/>
      <c r="G53" s="24"/>
      <c r="H53" s="28"/>
      <c r="I53" s="17"/>
    </row>
    <row collapsed="false" customFormat="false" customHeight="true" hidden="false" ht="30" outlineLevel="0" r="54">
      <c r="B54" s="12" t="n">
        <v>17</v>
      </c>
      <c r="C54" s="15" t="s">
        <v>46</v>
      </c>
      <c r="D54" s="15"/>
      <c r="E54" s="15"/>
      <c r="F54" s="15"/>
      <c r="G54" s="24"/>
      <c r="H54" s="26" t="n">
        <v>3</v>
      </c>
      <c r="I54" s="17"/>
    </row>
    <row collapsed="false" customFormat="false" customHeight="true" hidden="false" ht="4.5" outlineLevel="0" r="55">
      <c r="A55" s="25"/>
      <c r="B55" s="27"/>
      <c r="C55" s="29"/>
      <c r="D55" s="29"/>
      <c r="E55" s="29"/>
      <c r="F55" s="29"/>
      <c r="G55" s="30"/>
      <c r="H55" s="28"/>
      <c r="I55" s="17"/>
    </row>
    <row collapsed="false" customFormat="false" customHeight="true" hidden="false" ht="30" outlineLevel="0" r="56">
      <c r="A56" s="31"/>
      <c r="B56" s="12" t="n">
        <v>18</v>
      </c>
      <c r="C56" s="15" t="s">
        <v>47</v>
      </c>
      <c r="D56" s="15"/>
      <c r="E56" s="15"/>
      <c r="F56" s="15"/>
      <c r="G56" s="24"/>
      <c r="H56" s="26" t="n">
        <v>19</v>
      </c>
      <c r="I56" s="17"/>
    </row>
    <row collapsed="false" customFormat="false" customHeight="true" hidden="false" ht="4.5" outlineLevel="0" r="57">
      <c r="A57" s="25"/>
      <c r="B57" s="27"/>
      <c r="C57" s="29"/>
      <c r="D57" s="29"/>
      <c r="E57" s="29"/>
      <c r="F57" s="29"/>
      <c r="G57" s="24"/>
      <c r="H57" s="28"/>
      <c r="I57" s="17"/>
    </row>
    <row collapsed="false" customFormat="false" customHeight="true" hidden="false" ht="30" outlineLevel="0" r="58">
      <c r="B58" s="12" t="n">
        <v>19</v>
      </c>
      <c r="C58" s="15" t="s">
        <v>48</v>
      </c>
      <c r="D58" s="15"/>
      <c r="E58" s="15"/>
      <c r="F58" s="15"/>
      <c r="G58" s="24"/>
      <c r="H58" s="26" t="n">
        <v>4</v>
      </c>
      <c r="I58" s="17"/>
    </row>
    <row collapsed="false" customFormat="false" customHeight="true" hidden="false" ht="4.5" outlineLevel="0" r="59">
      <c r="A59" s="25"/>
      <c r="B59" s="27"/>
      <c r="G59" s="30"/>
      <c r="H59" s="28"/>
      <c r="I59" s="17"/>
    </row>
    <row collapsed="false" customFormat="false" customHeight="true" hidden="false" ht="30" outlineLevel="0" r="60">
      <c r="B60" s="12" t="n">
        <v>20</v>
      </c>
      <c r="C60" s="33" t="s">
        <v>49</v>
      </c>
      <c r="D60" s="33"/>
      <c r="E60" s="33"/>
      <c r="F60" s="33"/>
      <c r="G60" s="24"/>
      <c r="H60" s="26" t="n">
        <v>3</v>
      </c>
      <c r="I60" s="17"/>
    </row>
    <row collapsed="false" customFormat="false" customHeight="true" hidden="false" ht="4.5" outlineLevel="0" r="61">
      <c r="A61" s="25"/>
      <c r="B61" s="27"/>
      <c r="C61" s="12"/>
      <c r="D61" s="12"/>
      <c r="E61" s="12"/>
      <c r="F61" s="12"/>
      <c r="G61" s="17"/>
      <c r="H61" s="28"/>
    </row>
    <row collapsed="false" customFormat="false" customHeight="true" hidden="false" ht="30" outlineLevel="0" r="62">
      <c r="A62" s="31"/>
      <c r="B62" s="12" t="n">
        <v>21</v>
      </c>
      <c r="C62" s="15" t="s">
        <v>50</v>
      </c>
      <c r="D62" s="15"/>
      <c r="E62" s="15"/>
      <c r="F62" s="15"/>
      <c r="G62" s="17"/>
      <c r="H62" s="26" t="n">
        <f aca="false">10+26</f>
        <v>36</v>
      </c>
    </row>
    <row collapsed="false" customFormat="false" customHeight="true" hidden="false" ht="4.5" outlineLevel="0" r="63">
      <c r="A63" s="25"/>
      <c r="B63" s="27"/>
      <c r="C63" s="29"/>
      <c r="D63" s="29"/>
      <c r="E63" s="29"/>
      <c r="F63" s="29"/>
      <c r="G63" s="17"/>
      <c r="H63" s="28"/>
    </row>
    <row collapsed="false" customFormat="false" customHeight="true" hidden="false" ht="30" outlineLevel="0" r="64">
      <c r="A64" s="25"/>
      <c r="B64" s="12" t="n">
        <v>22</v>
      </c>
      <c r="C64" s="15" t="s">
        <v>51</v>
      </c>
      <c r="D64" s="15"/>
      <c r="E64" s="15"/>
      <c r="F64" s="15"/>
      <c r="G64" s="17"/>
      <c r="H64" s="26" t="n">
        <f aca="false">24+6</f>
        <v>30</v>
      </c>
    </row>
    <row collapsed="false" customFormat="false" customHeight="true" hidden="false" ht="4.5" outlineLevel="0" r="65">
      <c r="C65" s="29"/>
      <c r="D65" s="29"/>
      <c r="E65" s="29"/>
      <c r="F65" s="29"/>
    </row>
    <row collapsed="false" customFormat="false" customHeight="true" hidden="false" ht="30" outlineLevel="0" r="66">
      <c r="B66" s="12" t="n">
        <v>23</v>
      </c>
      <c r="C66" s="15" t="s">
        <v>52</v>
      </c>
      <c r="D66" s="15"/>
      <c r="E66" s="15"/>
      <c r="F66" s="15"/>
      <c r="G66" s="24"/>
      <c r="H66" s="26" t="n">
        <v>32</v>
      </c>
      <c r="I66" s="17"/>
    </row>
    <row collapsed="false" customFormat="false" customHeight="true" hidden="false" ht="4.5" outlineLevel="0" r="67">
      <c r="B67" s="27"/>
      <c r="C67" s="29"/>
      <c r="D67" s="29"/>
      <c r="E67" s="29"/>
      <c r="F67" s="29"/>
      <c r="G67" s="24"/>
      <c r="H67" s="28"/>
      <c r="I67" s="17"/>
    </row>
    <row collapsed="false" customFormat="false" customHeight="true" hidden="false" ht="30" outlineLevel="0" r="68">
      <c r="B68" s="12" t="n">
        <v>24</v>
      </c>
      <c r="C68" s="15" t="s">
        <v>53</v>
      </c>
      <c r="D68" s="15"/>
      <c r="E68" s="15"/>
      <c r="F68" s="15"/>
      <c r="G68" s="24"/>
      <c r="H68" s="26" t="n">
        <f aca="false">40+3</f>
        <v>43</v>
      </c>
      <c r="I68" s="17"/>
    </row>
    <row collapsed="false" customFormat="false" customHeight="true" hidden="false" ht="4.5" outlineLevel="0" r="69">
      <c r="A69" s="25"/>
      <c r="B69" s="27"/>
      <c r="C69" s="29"/>
      <c r="D69" s="29"/>
      <c r="E69" s="29"/>
      <c r="F69" s="29"/>
      <c r="G69" s="30"/>
      <c r="H69" s="28"/>
      <c r="I69" s="17"/>
    </row>
    <row collapsed="false" customFormat="false" customHeight="true" hidden="false" ht="30" outlineLevel="0" r="70">
      <c r="A70" s="31"/>
      <c r="B70" s="12" t="n">
        <v>25</v>
      </c>
      <c r="C70" s="15" t="s">
        <v>54</v>
      </c>
      <c r="D70" s="15"/>
      <c r="E70" s="15"/>
      <c r="F70" s="15"/>
      <c r="G70" s="24"/>
      <c r="H70" s="26" t="n">
        <f aca="false">15+2</f>
        <v>17</v>
      </c>
      <c r="I70" s="17"/>
    </row>
    <row collapsed="false" customFormat="false" customHeight="true" hidden="false" ht="4.5" outlineLevel="0" r="71">
      <c r="A71" s="25"/>
      <c r="B71" s="27"/>
      <c r="C71" s="29"/>
      <c r="D71" s="29"/>
      <c r="E71" s="29"/>
      <c r="F71" s="29"/>
      <c r="G71" s="24"/>
      <c r="H71" s="28"/>
      <c r="I71" s="17"/>
    </row>
    <row collapsed="false" customFormat="false" customHeight="true" hidden="false" ht="30" outlineLevel="0" r="72">
      <c r="B72" s="12" t="n">
        <v>26</v>
      </c>
      <c r="C72" s="15" t="s">
        <v>55</v>
      </c>
      <c r="D72" s="15"/>
      <c r="E72" s="15"/>
      <c r="F72" s="15"/>
      <c r="G72" s="24"/>
      <c r="H72" s="26" t="n">
        <f aca="false">18+3</f>
        <v>21</v>
      </c>
      <c r="I72" s="17"/>
    </row>
    <row collapsed="false" customFormat="false" customHeight="true" hidden="false" ht="4.5" outlineLevel="0" r="73">
      <c r="A73" s="25"/>
      <c r="B73" s="27"/>
      <c r="G73" s="30"/>
      <c r="H73" s="28"/>
      <c r="I73" s="17"/>
    </row>
    <row collapsed="false" customFormat="false" customHeight="true" hidden="false" ht="30" outlineLevel="0" r="74">
      <c r="B74" s="12" t="n">
        <v>27</v>
      </c>
      <c r="C74" s="15" t="s">
        <v>56</v>
      </c>
      <c r="D74" s="15"/>
      <c r="E74" s="15"/>
      <c r="F74" s="15"/>
      <c r="G74" s="24"/>
      <c r="H74" s="26" t="n">
        <f aca="false">34+4</f>
        <v>38</v>
      </c>
      <c r="I74" s="17"/>
    </row>
    <row collapsed="false" customFormat="false" customHeight="true" hidden="false" ht="4.5" outlineLevel="0" r="75">
      <c r="A75" s="25"/>
      <c r="B75" s="27"/>
      <c r="C75" s="12"/>
      <c r="D75" s="12"/>
      <c r="E75" s="12"/>
      <c r="F75" s="12"/>
      <c r="G75" s="17"/>
      <c r="H75" s="28"/>
    </row>
    <row collapsed="false" customFormat="false" customHeight="true" hidden="false" ht="30" outlineLevel="0" r="76">
      <c r="A76" s="31"/>
      <c r="B76" s="12" t="n">
        <v>28</v>
      </c>
      <c r="C76" s="15" t="s">
        <v>57</v>
      </c>
      <c r="D76" s="15"/>
      <c r="E76" s="15"/>
      <c r="F76" s="15"/>
      <c r="G76" s="17"/>
      <c r="H76" s="26" t="n">
        <f aca="false">13+1</f>
        <v>14</v>
      </c>
    </row>
    <row collapsed="false" customFormat="false" customHeight="true" hidden="false" ht="4.5" outlineLevel="0" r="77">
      <c r="A77" s="25"/>
      <c r="B77" s="27"/>
      <c r="C77" s="12"/>
      <c r="D77" s="12"/>
      <c r="E77" s="12"/>
      <c r="F77" s="12"/>
      <c r="G77" s="17"/>
      <c r="H77" s="28"/>
    </row>
    <row collapsed="false" customFormat="false" customHeight="true" hidden="false" ht="30" outlineLevel="0" r="78">
      <c r="A78" s="25"/>
      <c r="B78" s="12" t="n">
        <v>29</v>
      </c>
      <c r="C78" s="15" t="s">
        <v>58</v>
      </c>
      <c r="D78" s="15"/>
      <c r="E78" s="15"/>
      <c r="F78" s="15"/>
      <c r="G78" s="17"/>
      <c r="H78" s="26" t="n">
        <v>28</v>
      </c>
    </row>
    <row collapsed="false" customFormat="false" customHeight="true" hidden="false" ht="3.75" outlineLevel="0" r="79">
      <c r="C79" s="29"/>
      <c r="D79" s="29"/>
      <c r="E79" s="29"/>
      <c r="F79" s="29"/>
    </row>
    <row collapsed="false" customFormat="false" customHeight="true" hidden="false" ht="30" outlineLevel="0" r="80">
      <c r="A80" s="17"/>
      <c r="B80" s="12" t="n">
        <v>30</v>
      </c>
      <c r="C80" s="15" t="s">
        <v>59</v>
      </c>
      <c r="D80" s="15"/>
      <c r="E80" s="15"/>
      <c r="F80" s="15"/>
      <c r="G80" s="17"/>
      <c r="H80" s="26" t="n">
        <v>8</v>
      </c>
      <c r="I80" s="17"/>
    </row>
    <row collapsed="false" customFormat="false" customHeight="true" hidden="false" ht="4.5" outlineLevel="0" r="81">
      <c r="A81" s="34"/>
      <c r="B81" s="27"/>
      <c r="C81" s="29"/>
      <c r="D81" s="29"/>
      <c r="E81" s="29"/>
      <c r="F81" s="29"/>
      <c r="G81" s="24"/>
      <c r="H81" s="28"/>
      <c r="I81" s="17"/>
    </row>
    <row collapsed="false" customFormat="false" customHeight="true" hidden="false" ht="30" outlineLevel="0" r="82">
      <c r="B82" s="12" t="n">
        <v>31</v>
      </c>
      <c r="C82" s="15" t="s">
        <v>60</v>
      </c>
      <c r="D82" s="15"/>
      <c r="E82" s="15"/>
      <c r="F82" s="15"/>
      <c r="G82" s="24"/>
      <c r="H82" s="26" t="n">
        <v>4</v>
      </c>
      <c r="I82" s="17"/>
    </row>
    <row collapsed="false" customFormat="false" customHeight="true" hidden="false" ht="4.5" outlineLevel="0" r="83">
      <c r="B83" s="27"/>
      <c r="C83" s="29"/>
      <c r="D83" s="29"/>
      <c r="E83" s="29"/>
      <c r="F83" s="29"/>
      <c r="G83" s="24"/>
      <c r="H83" s="28"/>
      <c r="I83" s="17"/>
    </row>
    <row collapsed="false" customFormat="false" customHeight="true" hidden="false" ht="30" outlineLevel="0" r="84">
      <c r="B84" s="12" t="n">
        <v>32</v>
      </c>
      <c r="C84" s="15" t="s">
        <v>61</v>
      </c>
      <c r="D84" s="15"/>
      <c r="E84" s="15"/>
      <c r="F84" s="15"/>
      <c r="G84" s="24"/>
      <c r="H84" s="26" t="n">
        <f aca="false">3+52</f>
        <v>55</v>
      </c>
      <c r="I84" s="17"/>
    </row>
    <row collapsed="false" customFormat="false" customHeight="true" hidden="false" ht="4.5" outlineLevel="0" r="85">
      <c r="A85" s="25"/>
      <c r="B85" s="27"/>
      <c r="C85" s="29"/>
      <c r="D85" s="29"/>
      <c r="E85" s="29"/>
      <c r="F85" s="29"/>
      <c r="G85" s="30"/>
      <c r="H85" s="28"/>
      <c r="I85" s="17"/>
    </row>
    <row collapsed="false" customFormat="false" customHeight="true" hidden="false" ht="30" outlineLevel="0" r="86">
      <c r="A86" s="31"/>
      <c r="B86" s="12" t="n">
        <v>33</v>
      </c>
      <c r="C86" s="15" t="s">
        <v>62</v>
      </c>
      <c r="D86" s="15"/>
      <c r="E86" s="15"/>
      <c r="F86" s="15"/>
      <c r="G86" s="24"/>
      <c r="H86" s="26" t="n">
        <v>2</v>
      </c>
      <c r="I86" s="17"/>
    </row>
    <row collapsed="false" customFormat="false" customHeight="true" hidden="false" ht="4.5" outlineLevel="0" r="87">
      <c r="A87" s="25"/>
      <c r="B87" s="27"/>
      <c r="C87" s="29"/>
      <c r="D87" s="29"/>
      <c r="E87" s="29"/>
      <c r="F87" s="29"/>
      <c r="G87" s="24"/>
      <c r="H87" s="28"/>
      <c r="I87" s="17"/>
    </row>
    <row collapsed="false" customFormat="false" customHeight="true" hidden="false" ht="30" outlineLevel="0" r="88">
      <c r="B88" s="12" t="n">
        <v>34</v>
      </c>
      <c r="C88" s="15" t="s">
        <v>63</v>
      </c>
      <c r="D88" s="15"/>
      <c r="E88" s="15"/>
      <c r="F88" s="15"/>
      <c r="G88" s="24"/>
      <c r="H88" s="26" t="n">
        <f aca="false">24+2</f>
        <v>26</v>
      </c>
      <c r="I88" s="17"/>
    </row>
    <row collapsed="false" customFormat="false" customHeight="true" hidden="false" ht="4.5" outlineLevel="0" r="89">
      <c r="A89" s="25"/>
      <c r="B89" s="27"/>
      <c r="G89" s="30"/>
      <c r="H89" s="28"/>
      <c r="I89" s="17"/>
    </row>
    <row collapsed="false" customFormat="false" customHeight="true" hidden="false" ht="30" outlineLevel="0" r="90">
      <c r="B90" s="12" t="n">
        <v>35</v>
      </c>
      <c r="C90" s="15" t="s">
        <v>64</v>
      </c>
      <c r="D90" s="15"/>
      <c r="E90" s="15"/>
      <c r="F90" s="15"/>
      <c r="G90" s="24"/>
      <c r="H90" s="26" t="n">
        <f aca="false">16+6</f>
        <v>22</v>
      </c>
      <c r="I90" s="17"/>
    </row>
    <row collapsed="false" customFormat="false" customHeight="true" hidden="false" ht="4.5" outlineLevel="0" r="91">
      <c r="A91" s="25"/>
      <c r="B91" s="27"/>
      <c r="C91" s="12"/>
      <c r="D91" s="12"/>
      <c r="E91" s="12"/>
      <c r="F91" s="12"/>
      <c r="G91" s="17"/>
      <c r="H91" s="28"/>
    </row>
    <row collapsed="false" customFormat="false" customHeight="true" hidden="false" ht="30" outlineLevel="0" r="92">
      <c r="A92" s="31"/>
      <c r="B92" s="12" t="n">
        <v>36</v>
      </c>
      <c r="C92" s="15" t="s">
        <v>65</v>
      </c>
      <c r="D92" s="15"/>
      <c r="E92" s="15"/>
      <c r="F92" s="15"/>
      <c r="G92" s="17"/>
      <c r="H92" s="26" t="n">
        <f aca="false">24+6</f>
        <v>30</v>
      </c>
    </row>
    <row collapsed="false" customFormat="false" customHeight="true" hidden="false" ht="4.5" outlineLevel="0" r="93">
      <c r="A93" s="25"/>
      <c r="B93" s="27"/>
      <c r="C93" s="12"/>
      <c r="D93" s="12"/>
      <c r="E93" s="12"/>
      <c r="F93" s="12"/>
      <c r="G93" s="17"/>
      <c r="H93" s="28"/>
    </row>
    <row collapsed="false" customFormat="false" customHeight="true" hidden="false" ht="30" outlineLevel="0" r="94">
      <c r="A94" s="25"/>
      <c r="B94" s="12" t="n">
        <v>37</v>
      </c>
      <c r="C94" s="15" t="s">
        <v>66</v>
      </c>
      <c r="D94" s="15"/>
      <c r="E94" s="15"/>
      <c r="F94" s="15"/>
      <c r="G94" s="17"/>
      <c r="H94" s="26" t="n">
        <v>9</v>
      </c>
    </row>
    <row collapsed="false" customFormat="false" customHeight="true" hidden="false" ht="3.75" outlineLevel="0" r="95">
      <c r="C95" s="29"/>
      <c r="D95" s="29"/>
      <c r="E95" s="29"/>
      <c r="F95" s="29"/>
    </row>
    <row collapsed="false" customFormat="false" customHeight="true" hidden="false" ht="30" outlineLevel="0" r="96">
      <c r="A96" s="17"/>
      <c r="B96" s="12" t="n">
        <v>38</v>
      </c>
      <c r="C96" s="15" t="s">
        <v>67</v>
      </c>
      <c r="D96" s="15"/>
      <c r="E96" s="15"/>
      <c r="F96" s="15"/>
      <c r="G96" s="17"/>
      <c r="H96" s="26" t="n">
        <v>7</v>
      </c>
      <c r="I96" s="17"/>
    </row>
    <row collapsed="false" customFormat="false" customHeight="true" hidden="false" ht="4.5" outlineLevel="0" r="97">
      <c r="A97" s="25"/>
      <c r="B97" s="27"/>
      <c r="C97" s="29"/>
      <c r="D97" s="29"/>
      <c r="E97" s="29"/>
      <c r="F97" s="29"/>
      <c r="G97" s="30"/>
      <c r="H97" s="28"/>
      <c r="I97" s="17"/>
    </row>
    <row collapsed="false" customFormat="false" customHeight="true" hidden="false" ht="30" outlineLevel="0" r="98">
      <c r="B98" s="12" t="n">
        <v>39</v>
      </c>
      <c r="C98" s="15" t="s">
        <v>68</v>
      </c>
      <c r="D98" s="15"/>
      <c r="E98" s="15"/>
      <c r="F98" s="15"/>
      <c r="G98" s="24"/>
      <c r="H98" s="26" t="n">
        <v>13</v>
      </c>
      <c r="I98" s="17"/>
    </row>
    <row collapsed="false" customFormat="false" customHeight="true" hidden="false" ht="4.5" outlineLevel="0" r="99">
      <c r="B99" s="27"/>
      <c r="C99" s="29"/>
      <c r="D99" s="29"/>
      <c r="E99" s="29"/>
      <c r="F99" s="29"/>
      <c r="G99" s="24"/>
      <c r="H99" s="28"/>
      <c r="I99" s="17"/>
    </row>
    <row collapsed="false" customFormat="false" customHeight="true" hidden="false" ht="30" outlineLevel="0" r="100">
      <c r="B100" s="12" t="n">
        <v>40</v>
      </c>
      <c r="C100" s="15" t="s">
        <v>69</v>
      </c>
      <c r="D100" s="15"/>
      <c r="E100" s="15"/>
      <c r="F100" s="15"/>
      <c r="G100" s="24"/>
      <c r="H100" s="26" t="n">
        <f aca="false">4+42</f>
        <v>46</v>
      </c>
      <c r="I100" s="17"/>
    </row>
    <row collapsed="false" customFormat="false" customHeight="true" hidden="false" ht="4.5" outlineLevel="0" r="101">
      <c r="A101" s="25"/>
      <c r="B101" s="27"/>
      <c r="C101" s="29"/>
      <c r="D101" s="29"/>
      <c r="E101" s="29"/>
      <c r="F101" s="29"/>
      <c r="G101" s="30"/>
      <c r="H101" s="28"/>
      <c r="I101" s="17"/>
    </row>
    <row collapsed="false" customFormat="false" customHeight="true" hidden="false" ht="30" outlineLevel="0" r="102">
      <c r="A102" s="31"/>
      <c r="B102" s="12" t="n">
        <v>41</v>
      </c>
      <c r="C102" s="15" t="s">
        <v>70</v>
      </c>
      <c r="D102" s="15"/>
      <c r="E102" s="15"/>
      <c r="F102" s="15"/>
      <c r="G102" s="24"/>
      <c r="H102" s="26" t="n">
        <v>44</v>
      </c>
      <c r="I102" s="17"/>
    </row>
    <row collapsed="false" customFormat="false" customHeight="true" hidden="false" ht="4.5" outlineLevel="0" r="103">
      <c r="A103" s="25"/>
      <c r="B103" s="27"/>
      <c r="C103" s="29"/>
      <c r="D103" s="29"/>
      <c r="E103" s="29"/>
      <c r="F103" s="29"/>
      <c r="G103" s="24"/>
      <c r="H103" s="28"/>
      <c r="I103" s="17"/>
    </row>
    <row collapsed="false" customFormat="false" customHeight="true" hidden="false" ht="30" outlineLevel="0" r="104">
      <c r="B104" s="12" t="n">
        <v>42</v>
      </c>
      <c r="C104" s="15" t="s">
        <v>71</v>
      </c>
      <c r="D104" s="15"/>
      <c r="E104" s="15"/>
      <c r="F104" s="15"/>
      <c r="G104" s="24"/>
      <c r="H104" s="26" t="n">
        <v>3</v>
      </c>
      <c r="I104" s="17"/>
    </row>
    <row collapsed="false" customFormat="false" customHeight="true" hidden="false" ht="4.5" outlineLevel="0" r="105">
      <c r="A105" s="25"/>
      <c r="B105" s="27"/>
      <c r="G105" s="30"/>
      <c r="H105" s="28"/>
      <c r="I105" s="17"/>
    </row>
    <row collapsed="false" customFormat="false" customHeight="true" hidden="false" ht="30" outlineLevel="0" r="106">
      <c r="B106" s="12" t="n">
        <v>43</v>
      </c>
      <c r="C106" s="15" t="s">
        <v>72</v>
      </c>
      <c r="D106" s="15"/>
      <c r="E106" s="15"/>
      <c r="F106" s="15"/>
      <c r="G106" s="24"/>
      <c r="H106" s="26" t="n">
        <v>4</v>
      </c>
      <c r="I106" s="17"/>
    </row>
    <row collapsed="false" customFormat="false" customHeight="true" hidden="false" ht="4.5" outlineLevel="0" r="107">
      <c r="A107" s="25"/>
      <c r="B107" s="27"/>
      <c r="C107" s="29"/>
      <c r="D107" s="29"/>
      <c r="E107" s="29"/>
      <c r="F107" s="29"/>
      <c r="G107" s="17"/>
      <c r="H107" s="28"/>
    </row>
    <row collapsed="false" customFormat="false" customHeight="true" hidden="false" ht="30" outlineLevel="0" r="108">
      <c r="A108" s="31"/>
      <c r="B108" s="12" t="n">
        <v>44</v>
      </c>
      <c r="C108" s="15" t="s">
        <v>73</v>
      </c>
      <c r="D108" s="15"/>
      <c r="E108" s="15"/>
      <c r="F108" s="15"/>
      <c r="G108" s="17"/>
      <c r="H108" s="26" t="n">
        <v>39</v>
      </c>
    </row>
    <row collapsed="false" customFormat="false" customHeight="true" hidden="false" ht="4.5" outlineLevel="0" r="109">
      <c r="A109" s="25"/>
      <c r="B109" s="27"/>
      <c r="C109" s="12"/>
      <c r="D109" s="12"/>
      <c r="E109" s="12"/>
      <c r="F109" s="12"/>
      <c r="G109" s="17"/>
      <c r="H109" s="28"/>
    </row>
    <row collapsed="false" customFormat="false" customHeight="true" hidden="false" ht="30" outlineLevel="0" r="110">
      <c r="A110" s="25"/>
      <c r="B110" s="12" t="n">
        <v>45</v>
      </c>
      <c r="C110" s="15" t="s">
        <v>74</v>
      </c>
      <c r="D110" s="15"/>
      <c r="E110" s="15"/>
      <c r="F110" s="15"/>
      <c r="G110" s="17"/>
      <c r="H110" s="26" t="n">
        <v>3</v>
      </c>
    </row>
    <row collapsed="false" customFormat="false" customHeight="true" hidden="false" ht="3.75" outlineLevel="0" r="111">
      <c r="C111" s="29"/>
      <c r="D111" s="29"/>
      <c r="E111" s="29"/>
      <c r="F111" s="29"/>
    </row>
    <row collapsed="false" customFormat="false" customHeight="true" hidden="false" ht="30" outlineLevel="0" r="112">
      <c r="A112" s="17"/>
      <c r="B112" s="12" t="n">
        <v>46</v>
      </c>
      <c r="C112" s="15" t="s">
        <v>75</v>
      </c>
      <c r="D112" s="15"/>
      <c r="E112" s="15"/>
      <c r="F112" s="15"/>
      <c r="G112" s="17"/>
      <c r="H112" s="26" t="n">
        <v>61</v>
      </c>
      <c r="I112" s="17"/>
    </row>
    <row collapsed="false" customFormat="false" customHeight="true" hidden="false" ht="4.5" outlineLevel="0" r="113">
      <c r="A113" s="25"/>
      <c r="B113" s="27"/>
      <c r="G113" s="24"/>
      <c r="H113" s="28"/>
      <c r="I113" s="17"/>
    </row>
    <row collapsed="false" customFormat="false" customHeight="true" hidden="false" ht="30" outlineLevel="0" r="114">
      <c r="B114" s="12" t="n">
        <v>47</v>
      </c>
      <c r="C114" s="15" t="s">
        <v>76</v>
      </c>
      <c r="D114" s="15"/>
      <c r="E114" s="15"/>
      <c r="F114" s="15"/>
      <c r="G114" s="24"/>
      <c r="H114" s="26" t="n">
        <v>4</v>
      </c>
      <c r="I114" s="17"/>
    </row>
    <row collapsed="false" customFormat="false" customHeight="true" hidden="false" ht="4.5" outlineLevel="0" r="115">
      <c r="B115" s="27"/>
      <c r="C115" s="29"/>
      <c r="D115" s="29"/>
      <c r="E115" s="29"/>
      <c r="F115" s="29"/>
      <c r="G115" s="24"/>
      <c r="H115" s="28"/>
      <c r="I115" s="17"/>
    </row>
    <row collapsed="false" customFormat="false" customHeight="true" hidden="false" ht="30" outlineLevel="0" r="116">
      <c r="B116" s="12" t="n">
        <v>48</v>
      </c>
      <c r="C116" s="15" t="s">
        <v>77</v>
      </c>
      <c r="D116" s="15"/>
      <c r="E116" s="15"/>
      <c r="F116" s="15"/>
      <c r="G116" s="24"/>
      <c r="H116" s="26" t="n">
        <v>14</v>
      </c>
      <c r="I116" s="17"/>
    </row>
    <row collapsed="false" customFormat="false" customHeight="true" hidden="false" ht="6.75" outlineLevel="0" r="117">
      <c r="A117" s="25"/>
      <c r="B117" s="27"/>
      <c r="C117" s="12"/>
      <c r="D117" s="12"/>
      <c r="E117" s="12"/>
      <c r="F117" s="12"/>
      <c r="G117" s="30"/>
      <c r="H117" s="28"/>
      <c r="I117" s="17"/>
    </row>
    <row collapsed="false" customFormat="false" customHeight="true" hidden="false" ht="28.5" outlineLevel="0" r="118">
      <c r="A118" s="25"/>
      <c r="B118" s="27" t="n">
        <v>49</v>
      </c>
      <c r="C118" s="33" t="s">
        <v>78</v>
      </c>
      <c r="D118" s="33"/>
      <c r="E118" s="33"/>
      <c r="F118" s="33"/>
      <c r="G118" s="24"/>
      <c r="H118" s="26" t="n">
        <v>3</v>
      </c>
      <c r="I118" s="17"/>
    </row>
    <row collapsed="false" customFormat="false" customHeight="true" hidden="false" ht="4.5" outlineLevel="0" r="119">
      <c r="A119" s="25"/>
      <c r="B119" s="27"/>
      <c r="C119" s="29"/>
      <c r="D119" s="29"/>
      <c r="E119" s="29"/>
      <c r="F119" s="29"/>
      <c r="G119" s="30"/>
      <c r="H119" s="28"/>
      <c r="I119" s="17"/>
    </row>
    <row collapsed="false" customFormat="false" customHeight="true" hidden="false" ht="30" outlineLevel="0" r="120">
      <c r="A120" s="31"/>
      <c r="B120" s="12" t="n">
        <v>50</v>
      </c>
      <c r="C120" s="33" t="s">
        <v>79</v>
      </c>
      <c r="D120" s="33"/>
      <c r="E120" s="33"/>
      <c r="F120" s="33"/>
      <c r="G120" s="24"/>
      <c r="H120" s="26" t="n">
        <v>43</v>
      </c>
      <c r="I120" s="17"/>
    </row>
    <row collapsed="false" customFormat="false" customHeight="true" hidden="false" ht="4.5" outlineLevel="0" r="121">
      <c r="A121" s="25"/>
      <c r="B121" s="27"/>
      <c r="C121" s="29"/>
      <c r="D121" s="29"/>
      <c r="E121" s="29"/>
      <c r="F121" s="29"/>
      <c r="G121" s="24"/>
      <c r="H121" s="28"/>
      <c r="I121" s="17"/>
    </row>
    <row collapsed="false" customFormat="false" customHeight="true" hidden="false" ht="30" outlineLevel="0" r="122">
      <c r="B122" s="12" t="n">
        <v>51</v>
      </c>
      <c r="C122" s="33" t="s">
        <v>80</v>
      </c>
      <c r="D122" s="33"/>
      <c r="E122" s="33"/>
      <c r="F122" s="33"/>
      <c r="G122" s="24"/>
      <c r="H122" s="26" t="n">
        <v>18</v>
      </c>
      <c r="I122" s="17"/>
    </row>
    <row collapsed="false" customFormat="false" customHeight="true" hidden="false" ht="4.5" outlineLevel="0" r="123">
      <c r="A123" s="25"/>
      <c r="B123" s="27"/>
      <c r="C123" s="29"/>
      <c r="D123" s="29"/>
      <c r="E123" s="29"/>
      <c r="F123" s="29"/>
      <c r="G123" s="30"/>
      <c r="H123" s="28"/>
      <c r="I123" s="17"/>
    </row>
    <row collapsed="false" customFormat="false" customHeight="true" hidden="false" ht="30" outlineLevel="0" r="124">
      <c r="B124" s="12" t="n">
        <v>52</v>
      </c>
      <c r="C124" s="33" t="s">
        <v>81</v>
      </c>
      <c r="D124" s="33"/>
      <c r="E124" s="33"/>
      <c r="F124" s="33"/>
      <c r="G124" s="24"/>
      <c r="H124" s="26" t="n">
        <v>11</v>
      </c>
      <c r="I124" s="17"/>
    </row>
    <row collapsed="false" customFormat="false" customHeight="true" hidden="false" ht="4.5" outlineLevel="0" r="125">
      <c r="A125" s="25"/>
      <c r="B125" s="27"/>
      <c r="C125" s="29"/>
      <c r="D125" s="29"/>
      <c r="E125" s="29"/>
      <c r="F125" s="29"/>
      <c r="G125" s="17"/>
      <c r="H125" s="28"/>
    </row>
    <row collapsed="false" customFormat="false" customHeight="true" hidden="false" ht="30" outlineLevel="0" r="126">
      <c r="A126" s="31"/>
      <c r="B126" s="12" t="n">
        <v>53</v>
      </c>
      <c r="C126" s="33" t="s">
        <v>82</v>
      </c>
      <c r="D126" s="33"/>
      <c r="E126" s="33"/>
      <c r="F126" s="33"/>
      <c r="G126" s="17"/>
      <c r="H126" s="26" t="n">
        <v>2</v>
      </c>
    </row>
    <row collapsed="false" customFormat="false" customHeight="true" hidden="false" ht="4.5" outlineLevel="0" r="127">
      <c r="A127" s="25"/>
      <c r="B127" s="27"/>
      <c r="C127" s="29"/>
      <c r="D127" s="29"/>
      <c r="E127" s="29"/>
      <c r="F127" s="29"/>
      <c r="G127" s="17"/>
      <c r="H127" s="28"/>
    </row>
    <row collapsed="false" customFormat="false" customHeight="true" hidden="false" ht="30" outlineLevel="0" r="128">
      <c r="A128" s="25"/>
      <c r="B128" s="12" t="n">
        <v>54</v>
      </c>
      <c r="C128" s="33" t="s">
        <v>83</v>
      </c>
      <c r="D128" s="33"/>
      <c r="E128" s="33"/>
      <c r="F128" s="33"/>
      <c r="G128" s="17"/>
      <c r="H128" s="26" t="n">
        <v>38</v>
      </c>
    </row>
    <row collapsed="false" customFormat="false" customHeight="true" hidden="false" ht="3.75" outlineLevel="0" r="129">
      <c r="C129" s="29"/>
      <c r="D129" s="29"/>
      <c r="E129" s="29"/>
      <c r="F129" s="29"/>
    </row>
    <row collapsed="false" customFormat="false" customHeight="true" hidden="false" ht="30" outlineLevel="0" r="130">
      <c r="A130" s="17"/>
      <c r="B130" s="12" t="n">
        <v>55</v>
      </c>
      <c r="C130" s="33" t="s">
        <v>84</v>
      </c>
      <c r="D130" s="33"/>
      <c r="E130" s="33"/>
      <c r="F130" s="33"/>
      <c r="G130" s="17"/>
      <c r="H130" s="26" t="n">
        <v>3</v>
      </c>
      <c r="I130" s="17"/>
    </row>
    <row collapsed="false" customFormat="false" customHeight="true" hidden="false" ht="30" outlineLevel="0" r="132">
      <c r="B132" s="12" t="n">
        <v>56</v>
      </c>
      <c r="C132" s="33" t="s">
        <v>85</v>
      </c>
      <c r="D132" s="33"/>
      <c r="E132" s="33"/>
      <c r="F132" s="33"/>
      <c r="G132" s="24"/>
      <c r="H132" s="26" t="n">
        <v>28</v>
      </c>
      <c r="I132" s="17"/>
    </row>
    <row collapsed="false" customFormat="false" customHeight="true" hidden="false" ht="4.5" outlineLevel="0" r="133">
      <c r="B133" s="27"/>
      <c r="C133" s="29"/>
      <c r="D133" s="29"/>
      <c r="E133" s="29"/>
      <c r="F133" s="29"/>
      <c r="G133" s="24"/>
      <c r="H133" s="28"/>
      <c r="I133" s="17"/>
    </row>
    <row collapsed="false" customFormat="false" customHeight="true" hidden="false" ht="30" outlineLevel="0" r="134">
      <c r="B134" s="12" t="n">
        <v>57</v>
      </c>
      <c r="C134" s="33" t="s">
        <v>86</v>
      </c>
      <c r="D134" s="33"/>
      <c r="E134" s="33"/>
      <c r="F134" s="33"/>
      <c r="G134" s="24"/>
      <c r="H134" s="26" t="n">
        <v>5</v>
      </c>
      <c r="I134" s="17"/>
    </row>
    <row collapsed="false" customFormat="false" customHeight="true" hidden="false" ht="4.5" outlineLevel="0" r="135">
      <c r="A135" s="25"/>
      <c r="B135" s="27"/>
      <c r="C135" s="29"/>
      <c r="D135" s="29"/>
      <c r="E135" s="29"/>
      <c r="F135" s="29"/>
      <c r="G135" s="30"/>
      <c r="H135" s="28"/>
      <c r="I135" s="17"/>
    </row>
    <row collapsed="false" customFormat="false" customHeight="true" hidden="false" ht="30" outlineLevel="0" r="136">
      <c r="A136" s="31"/>
      <c r="B136" s="12" t="n">
        <v>58</v>
      </c>
      <c r="C136" s="35" t="s">
        <v>87</v>
      </c>
      <c r="D136" s="35"/>
      <c r="E136" s="35"/>
      <c r="F136" s="35"/>
      <c r="G136" s="24"/>
      <c r="H136" s="26" t="n">
        <v>10</v>
      </c>
      <c r="I136" s="17"/>
    </row>
    <row collapsed="false" customFormat="false" customHeight="true" hidden="false" ht="4.5" outlineLevel="0" r="137">
      <c r="A137" s="25"/>
      <c r="B137" s="27"/>
      <c r="C137" s="12"/>
      <c r="D137" s="12"/>
      <c r="E137" s="12"/>
      <c r="F137" s="12"/>
      <c r="G137" s="24"/>
      <c r="H137" s="28"/>
      <c r="I137" s="17"/>
    </row>
    <row collapsed="false" customFormat="false" customHeight="true" hidden="false" ht="30" outlineLevel="0" r="138">
      <c r="B138" s="12" t="n">
        <v>59</v>
      </c>
      <c r="C138" s="33" t="s">
        <v>88</v>
      </c>
      <c r="D138" s="33"/>
      <c r="E138" s="33"/>
      <c r="F138" s="33"/>
      <c r="G138" s="24"/>
      <c r="H138" s="26" t="n">
        <v>8</v>
      </c>
      <c r="I138" s="17"/>
    </row>
    <row collapsed="false" customFormat="false" customHeight="true" hidden="false" ht="4.5" outlineLevel="0" r="139">
      <c r="A139" s="25"/>
      <c r="B139" s="27"/>
      <c r="C139" s="29"/>
      <c r="D139" s="29"/>
      <c r="E139" s="29"/>
      <c r="F139" s="29"/>
      <c r="G139" s="30"/>
      <c r="H139" s="28"/>
      <c r="I139" s="17"/>
    </row>
    <row collapsed="false" customFormat="false" customHeight="true" hidden="false" ht="30" outlineLevel="0" r="140">
      <c r="B140" s="12" t="n">
        <v>60</v>
      </c>
      <c r="C140" s="33" t="s">
        <v>89</v>
      </c>
      <c r="D140" s="33"/>
      <c r="E140" s="33"/>
      <c r="F140" s="33"/>
      <c r="G140" s="24"/>
      <c r="H140" s="26" t="n">
        <v>8</v>
      </c>
      <c r="I140" s="17"/>
    </row>
    <row collapsed="false" customFormat="false" customHeight="true" hidden="false" ht="4.5" outlineLevel="0" r="141">
      <c r="A141" s="25"/>
      <c r="B141" s="27"/>
      <c r="C141" s="29"/>
      <c r="D141" s="29"/>
      <c r="E141" s="29"/>
      <c r="F141" s="29"/>
      <c r="G141" s="17"/>
      <c r="H141" s="28"/>
    </row>
    <row collapsed="false" customFormat="false" customHeight="true" hidden="false" ht="30" outlineLevel="0" r="142">
      <c r="A142" s="31"/>
      <c r="B142" s="12" t="n">
        <v>61</v>
      </c>
      <c r="C142" s="33" t="s">
        <v>90</v>
      </c>
      <c r="D142" s="33"/>
      <c r="E142" s="33"/>
      <c r="F142" s="33"/>
      <c r="G142" s="17"/>
      <c r="H142" s="26" t="n">
        <v>8</v>
      </c>
    </row>
    <row collapsed="false" customFormat="false" customHeight="true" hidden="false" ht="4.5" outlineLevel="0" r="143">
      <c r="A143" s="25"/>
      <c r="B143" s="27"/>
      <c r="C143" s="36"/>
      <c r="D143" s="36"/>
      <c r="E143" s="36"/>
      <c r="F143" s="36"/>
      <c r="G143" s="17"/>
      <c r="H143" s="28"/>
    </row>
    <row collapsed="false" customFormat="false" customHeight="true" hidden="false" ht="30" outlineLevel="0" r="144">
      <c r="A144" s="25"/>
      <c r="B144" s="12" t="n">
        <v>62</v>
      </c>
      <c r="C144" s="33" t="s">
        <v>91</v>
      </c>
      <c r="D144" s="33"/>
      <c r="E144" s="33"/>
      <c r="F144" s="33"/>
      <c r="G144" s="17"/>
      <c r="H144" s="26" t="n">
        <v>3</v>
      </c>
    </row>
    <row collapsed="false" customFormat="false" customHeight="true" hidden="false" ht="3.75" outlineLevel="0" r="145">
      <c r="C145" s="29"/>
      <c r="D145" s="29"/>
      <c r="E145" s="29"/>
      <c r="F145" s="29"/>
    </row>
    <row collapsed="false" customFormat="false" customHeight="true" hidden="false" ht="30" outlineLevel="0" r="146">
      <c r="A146" s="17"/>
      <c r="B146" s="12" t="n">
        <v>63</v>
      </c>
      <c r="C146" s="33" t="s">
        <v>92</v>
      </c>
      <c r="D146" s="33"/>
      <c r="E146" s="33"/>
      <c r="F146" s="33"/>
      <c r="G146" s="17"/>
      <c r="H146" s="26" t="n">
        <v>11</v>
      </c>
      <c r="I146" s="17"/>
    </row>
    <row collapsed="false" customFormat="false" customHeight="true" hidden="false" ht="4.5" outlineLevel="0" r="147">
      <c r="C147" s="29"/>
      <c r="D147" s="29"/>
      <c r="E147" s="29"/>
      <c r="F147" s="29"/>
    </row>
    <row collapsed="false" customFormat="false" customHeight="true" hidden="false" ht="30" outlineLevel="0" r="148">
      <c r="B148" s="12" t="n">
        <v>64</v>
      </c>
      <c r="C148" s="33" t="s">
        <v>93</v>
      </c>
      <c r="D148" s="33"/>
      <c r="E148" s="33"/>
      <c r="F148" s="33"/>
      <c r="G148" s="24"/>
      <c r="H148" s="26" t="n">
        <v>15</v>
      </c>
      <c r="I148" s="17"/>
    </row>
    <row collapsed="false" customFormat="false" customHeight="true" hidden="false" ht="4.5" outlineLevel="0" r="149">
      <c r="B149" s="27"/>
      <c r="G149" s="24"/>
      <c r="H149" s="28"/>
      <c r="I149" s="17"/>
    </row>
    <row collapsed="false" customFormat="false" customHeight="true" hidden="false" ht="30" outlineLevel="0" r="150">
      <c r="B150" s="12" t="n">
        <v>65</v>
      </c>
      <c r="C150" s="33" t="s">
        <v>94</v>
      </c>
      <c r="D150" s="33"/>
      <c r="E150" s="33"/>
      <c r="F150" s="33"/>
      <c r="G150" s="24"/>
      <c r="H150" s="26" t="n">
        <v>7</v>
      </c>
      <c r="I150" s="17"/>
    </row>
    <row collapsed="false" customFormat="false" customHeight="true" hidden="false" ht="4.5" outlineLevel="0" r="151">
      <c r="A151" s="25"/>
      <c r="B151" s="27"/>
      <c r="G151" s="30"/>
      <c r="H151" s="28"/>
      <c r="I151" s="17"/>
    </row>
    <row collapsed="false" customFormat="false" customHeight="true" hidden="false" ht="30" outlineLevel="0" r="152">
      <c r="A152" s="31"/>
      <c r="B152" s="12" t="n">
        <v>66</v>
      </c>
      <c r="C152" s="33" t="s">
        <v>95</v>
      </c>
      <c r="D152" s="33"/>
      <c r="E152" s="33"/>
      <c r="F152" s="33"/>
      <c r="G152" s="24"/>
      <c r="H152" s="26" t="n">
        <v>8</v>
      </c>
      <c r="I152" s="17"/>
    </row>
    <row collapsed="false" customFormat="false" customHeight="true" hidden="false" ht="4.5" outlineLevel="0" r="153">
      <c r="A153" s="25"/>
      <c r="B153" s="27"/>
      <c r="C153" s="12"/>
      <c r="D153" s="12"/>
      <c r="E153" s="12"/>
      <c r="F153" s="12"/>
      <c r="G153" s="24"/>
      <c r="H153" s="28"/>
      <c r="I153" s="17"/>
    </row>
    <row collapsed="false" customFormat="false" customHeight="true" hidden="false" ht="30" outlineLevel="0" r="154">
      <c r="B154" s="12" t="n">
        <v>67</v>
      </c>
      <c r="C154" s="33" t="s">
        <v>96</v>
      </c>
      <c r="D154" s="33"/>
      <c r="E154" s="33"/>
      <c r="F154" s="33"/>
      <c r="G154" s="24"/>
      <c r="H154" s="26" t="n">
        <v>7</v>
      </c>
      <c r="I154" s="17"/>
    </row>
    <row collapsed="false" customFormat="false" customHeight="true" hidden="false" ht="4.5" outlineLevel="0" r="155">
      <c r="A155" s="25"/>
      <c r="B155" s="27"/>
      <c r="C155" s="29"/>
      <c r="D155" s="29"/>
      <c r="E155" s="29"/>
      <c r="F155" s="29"/>
      <c r="G155" s="30"/>
      <c r="H155" s="28"/>
      <c r="I155" s="17"/>
    </row>
    <row collapsed="false" customFormat="false" customHeight="true" hidden="false" ht="30" outlineLevel="0" r="156">
      <c r="B156" s="12" t="n">
        <v>68</v>
      </c>
      <c r="C156" s="33" t="s">
        <v>97</v>
      </c>
      <c r="D156" s="33"/>
      <c r="E156" s="33"/>
      <c r="F156" s="33"/>
      <c r="G156" s="24"/>
      <c r="H156" s="26" t="n">
        <v>13</v>
      </c>
      <c r="I156" s="17"/>
    </row>
    <row collapsed="false" customFormat="false" customHeight="true" hidden="false" ht="4.5" outlineLevel="0" r="157">
      <c r="A157" s="25"/>
      <c r="B157" s="27"/>
      <c r="C157" s="29"/>
      <c r="D157" s="29"/>
      <c r="E157" s="29"/>
      <c r="F157" s="29"/>
      <c r="G157" s="17"/>
      <c r="H157" s="28"/>
    </row>
    <row collapsed="false" customFormat="false" customHeight="true" hidden="false" ht="30" outlineLevel="0" r="158">
      <c r="A158" s="31"/>
      <c r="B158" s="12" t="n">
        <v>69</v>
      </c>
      <c r="C158" s="33" t="s">
        <v>98</v>
      </c>
      <c r="D158" s="33"/>
      <c r="E158" s="33"/>
      <c r="F158" s="33"/>
      <c r="G158" s="17"/>
      <c r="H158" s="26" t="n">
        <v>16</v>
      </c>
    </row>
    <row collapsed="false" customFormat="false" customHeight="true" hidden="false" ht="4.5" outlineLevel="0" r="159">
      <c r="A159" s="25"/>
      <c r="B159" s="27"/>
      <c r="C159" s="29"/>
      <c r="D159" s="29"/>
      <c r="E159" s="29"/>
      <c r="F159" s="29"/>
      <c r="G159" s="17"/>
      <c r="H159" s="28"/>
    </row>
    <row collapsed="false" customFormat="false" customHeight="true" hidden="false" ht="30" outlineLevel="0" r="160">
      <c r="A160" s="25"/>
      <c r="B160" s="12" t="n">
        <v>70</v>
      </c>
      <c r="C160" s="33" t="s">
        <v>99</v>
      </c>
      <c r="D160" s="33"/>
      <c r="E160" s="33"/>
      <c r="F160" s="33"/>
      <c r="G160" s="17"/>
      <c r="H160" s="26" t="n">
        <v>12</v>
      </c>
    </row>
    <row collapsed="false" customFormat="false" customHeight="true" hidden="false" ht="3.75" outlineLevel="0" r="161">
      <c r="C161" s="29"/>
      <c r="D161" s="29"/>
      <c r="E161" s="29"/>
      <c r="F161" s="29"/>
    </row>
    <row collapsed="false" customFormat="false" customHeight="true" hidden="false" ht="30" outlineLevel="0" r="162">
      <c r="A162" s="17"/>
      <c r="B162" s="12" t="n">
        <v>71</v>
      </c>
      <c r="C162" s="33" t="s">
        <v>100</v>
      </c>
      <c r="D162" s="33"/>
      <c r="E162" s="33"/>
      <c r="F162" s="33"/>
      <c r="G162" s="17"/>
      <c r="H162" s="26" t="n">
        <v>29</v>
      </c>
      <c r="I162" s="17"/>
    </row>
    <row collapsed="false" customFormat="false" customHeight="true" hidden="false" ht="4.5" outlineLevel="0" r="163"/>
    <row collapsed="false" customFormat="true" customHeight="true" hidden="false" ht="30" outlineLevel="0" r="164" s="17">
      <c r="B164" s="12" t="n">
        <v>72</v>
      </c>
      <c r="C164" s="33" t="s">
        <v>101</v>
      </c>
      <c r="D164" s="33"/>
      <c r="E164" s="33"/>
      <c r="F164" s="33"/>
      <c r="H164" s="26" t="n">
        <v>7</v>
      </c>
    </row>
    <row collapsed="false" customFormat="true" customHeight="true" hidden="false" ht="4.5" outlineLevel="0" r="165" s="17">
      <c r="A165" s="25"/>
      <c r="B165" s="27"/>
      <c r="C165" s="7"/>
      <c r="D165" s="7"/>
      <c r="E165" s="7"/>
      <c r="F165" s="7"/>
      <c r="G165" s="30"/>
      <c r="H165" s="28"/>
    </row>
    <row collapsed="false" customFormat="true" customHeight="true" hidden="false" ht="30" outlineLevel="0" r="166" s="17">
      <c r="A166" s="31"/>
      <c r="B166" s="12" t="n">
        <v>73</v>
      </c>
      <c r="C166" s="33" t="s">
        <v>102</v>
      </c>
      <c r="D166" s="33"/>
      <c r="E166" s="33"/>
      <c r="F166" s="33"/>
      <c r="H166" s="26" t="n">
        <v>4</v>
      </c>
    </row>
    <row collapsed="false" customFormat="true" customHeight="true" hidden="false" ht="4.5" outlineLevel="0" r="167" s="17">
      <c r="A167" s="25"/>
      <c r="B167" s="27"/>
      <c r="C167" s="12"/>
      <c r="D167" s="12"/>
      <c r="E167" s="12"/>
      <c r="F167" s="12"/>
      <c r="G167" s="24"/>
      <c r="H167" s="28"/>
    </row>
    <row collapsed="false" customFormat="true" customHeight="true" hidden="false" ht="30" outlineLevel="0" r="168" s="17">
      <c r="B168" s="12" t="n">
        <v>74</v>
      </c>
      <c r="C168" s="33" t="s">
        <v>103</v>
      </c>
      <c r="D168" s="33"/>
      <c r="E168" s="33"/>
      <c r="F168" s="33"/>
      <c r="H168" s="26" t="n">
        <v>4</v>
      </c>
    </row>
    <row collapsed="false" customFormat="true" customHeight="true" hidden="false" ht="4.5" outlineLevel="0" r="169" s="17">
      <c r="A169" s="25"/>
      <c r="B169" s="27"/>
      <c r="C169" s="29"/>
      <c r="D169" s="29"/>
      <c r="E169" s="29"/>
      <c r="F169" s="29"/>
      <c r="G169" s="30"/>
      <c r="H169" s="28"/>
    </row>
    <row collapsed="false" customFormat="true" customHeight="true" hidden="false" ht="30" outlineLevel="0" r="170" s="17">
      <c r="B170" s="12"/>
      <c r="C170" s="15"/>
      <c r="D170" s="15"/>
      <c r="E170" s="15"/>
      <c r="F170" s="15"/>
      <c r="G170" s="24"/>
      <c r="H170" s="26"/>
    </row>
    <row collapsed="false" customFormat="false" customHeight="true" hidden="false" ht="15" outlineLevel="0" r="65536"/>
  </sheetData>
  <mergeCells count="88">
    <mergeCell ref="A1:H1"/>
    <mergeCell ref="A2:H2"/>
    <mergeCell ref="A3:H3"/>
    <mergeCell ref="A4:H4"/>
    <mergeCell ref="A5:H5"/>
    <mergeCell ref="C7:H7"/>
    <mergeCell ref="C9:H9"/>
    <mergeCell ref="C11:H11"/>
    <mergeCell ref="C13:F13"/>
    <mergeCell ref="C15:F15"/>
    <mergeCell ref="C17:F17"/>
    <mergeCell ref="C21:F21"/>
    <mergeCell ref="A22:A26"/>
    <mergeCell ref="C22:F22"/>
    <mergeCell ref="C24:F24"/>
    <mergeCell ref="C26:F26"/>
    <mergeCell ref="C28:F28"/>
    <mergeCell ref="C30:F30"/>
    <mergeCell ref="C32:F32"/>
    <mergeCell ref="C34:F34"/>
    <mergeCell ref="C36:F36"/>
    <mergeCell ref="C38:F38"/>
    <mergeCell ref="C40:F40"/>
    <mergeCell ref="C42:F42"/>
    <mergeCell ref="C44:F44"/>
    <mergeCell ref="C46:F46"/>
    <mergeCell ref="C48:F48"/>
    <mergeCell ref="C50:F50"/>
    <mergeCell ref="C52:F52"/>
    <mergeCell ref="C54:F54"/>
    <mergeCell ref="C56:F56"/>
    <mergeCell ref="C58:F58"/>
    <mergeCell ref="C60:F60"/>
    <mergeCell ref="C62:F62"/>
    <mergeCell ref="C64:F64"/>
    <mergeCell ref="C66:F66"/>
    <mergeCell ref="C68:F68"/>
    <mergeCell ref="C70:F70"/>
    <mergeCell ref="C72:F72"/>
    <mergeCell ref="C74:F74"/>
    <mergeCell ref="C76:F76"/>
    <mergeCell ref="C78:F78"/>
    <mergeCell ref="C80:F80"/>
    <mergeCell ref="C82:F82"/>
    <mergeCell ref="C84:F84"/>
    <mergeCell ref="C86:F86"/>
    <mergeCell ref="C88:F88"/>
    <mergeCell ref="C90:F90"/>
    <mergeCell ref="C92:F92"/>
    <mergeCell ref="C94:F94"/>
    <mergeCell ref="C96:F96"/>
    <mergeCell ref="C98:F98"/>
    <mergeCell ref="C100:F100"/>
    <mergeCell ref="C102:F102"/>
    <mergeCell ref="C104:F104"/>
    <mergeCell ref="C106:F106"/>
    <mergeCell ref="C108:F108"/>
    <mergeCell ref="C110:F110"/>
    <mergeCell ref="C112:F112"/>
    <mergeCell ref="C114:F114"/>
    <mergeCell ref="C116:F116"/>
    <mergeCell ref="C118:F118"/>
    <mergeCell ref="C120:F120"/>
    <mergeCell ref="C122:F122"/>
    <mergeCell ref="C124:F124"/>
    <mergeCell ref="C126:F126"/>
    <mergeCell ref="C128:F128"/>
    <mergeCell ref="C130:F130"/>
    <mergeCell ref="C132:F132"/>
    <mergeCell ref="C134:F134"/>
    <mergeCell ref="C136:F136"/>
    <mergeCell ref="C138:F138"/>
    <mergeCell ref="C140:F140"/>
    <mergeCell ref="C142:F142"/>
    <mergeCell ref="C144:F144"/>
    <mergeCell ref="C146:F146"/>
    <mergeCell ref="C148:F148"/>
    <mergeCell ref="C150:F150"/>
    <mergeCell ref="C152:F152"/>
    <mergeCell ref="C154:F154"/>
    <mergeCell ref="C156:F156"/>
    <mergeCell ref="C158:F158"/>
    <mergeCell ref="C160:F160"/>
    <mergeCell ref="C162:F162"/>
    <mergeCell ref="C164:F164"/>
    <mergeCell ref="C166:F166"/>
    <mergeCell ref="C168:F168"/>
    <mergeCell ref="C170:F170"/>
  </mergeCells>
  <printOptions headings="false" gridLines="false" gridLinesSet="true" horizontalCentered="true" verticalCentered="false"/>
  <pageMargins left="0.629861111111111" right="0.275694444444444" top="0.669444444444444" bottom="0.827083333333333" header="0.511805555555555" footer="0.511805555555555"/>
  <pageSetup blackAndWhite="false" cellComments="none" copies="1" draft="false" firstPageNumber="0" fitToHeight="10" fitToWidth="1" horizontalDpi="300" orientation="landscape" pageOrder="downThenOver" paperSize="77" scale="100" useFirstPageNumber="false" usePrinterDefaults="false" verticalDpi="300"/>
  <headerFooter differentFirst="false" differentOddEven="false">
    <oddHeader/>
    <oddFooter/>
  </headerFooter>
  <rowBreaks count="2" manualBreakCount="2">
    <brk id="35" man="true" max="255" min="0"/>
    <brk id="65" man="true" max="255" min="0"/>
  </rowBreaks>
  <drawing r:id="rId1"/>
</worksheet>
</file>

<file path=xl/worksheets/sheet20.xml><?xml version="1.0" encoding="utf-8"?>
<worksheet xmlns="http://schemas.openxmlformats.org/spreadsheetml/2006/main" xmlns:r="http://schemas.openxmlformats.org/officeDocument/2006/relationships">
  <sheetPr filterMode="false">
    <pageSetUpPr fitToPage="false"/>
  </sheetPr>
  <dimension ref="A1:O73"/>
  <sheetViews>
    <sheetView colorId="64" defaultGridColor="true" rightToLeft="false" showFormulas="false" showGridLines="true" showOutlineSymbols="true" showRowColHeaders="true" showZeros="true" tabSelected="false" topLeftCell="A1" view="normal" windowProtection="true" workbookViewId="0" zoomScale="110" zoomScaleNormal="110" zoomScalePageLayoutView="100">
      <pane activePane="bottomRight" topLeftCell="G5" xSplit="2" ySplit="4"/>
      <selection activeCell="A1" activeCellId="0" pane="topLeft" sqref="A1"/>
      <selection activeCell="G1" activeCellId="0" pane="topRight" sqref="G1"/>
      <selection activeCell="A5" activeCellId="0" pane="bottomLeft" sqref="A5"/>
      <selection activeCell="I8" activeCellId="0" pane="bottomRight" sqref="I8"/>
    </sheetView>
  </sheetViews>
  <cols>
    <col collapsed="false" hidden="false" max="1" min="1" style="713" width="4.87450980392157"/>
    <col collapsed="false" hidden="false" max="2" min="2" style="714" width="32.7058823529412"/>
    <col collapsed="false" hidden="false" max="3" min="3" style="715" width="9.75294117647059"/>
    <col collapsed="false" hidden="false" max="4" min="4" style="714" width="10.756862745098"/>
    <col collapsed="false" hidden="false" max="5" min="5" style="714" width="10.0392156862745"/>
    <col collapsed="false" hidden="false" max="6" min="6" style="714" width="15.2039215686275"/>
    <col collapsed="false" hidden="false" max="7" min="7" style="714" width="10.1843137254902"/>
    <col collapsed="false" hidden="false" max="8" min="8" style="714" width="13.6235294117647"/>
    <col collapsed="false" hidden="false" max="9" min="9" style="714" width="14.2"/>
    <col collapsed="false" hidden="false" max="10" min="10" style="714" width="13.0509803921569"/>
    <col collapsed="false" hidden="false" max="11" min="11" style="714" width="13.3372549019608"/>
    <col collapsed="false" hidden="false" max="12" min="12" style="714" width="13.0509803921569"/>
    <col collapsed="false" hidden="false" max="13" min="13" style="714" width="1.14901960784314"/>
    <col collapsed="false" hidden="false" max="21" min="14" style="714" width="10.756862745098"/>
    <col collapsed="false" hidden="false" max="25" min="22" style="714" width="12.7647058823529"/>
    <col collapsed="false" hidden="false" max="257" min="26" style="714" width="11.4745098039216"/>
  </cols>
  <sheetData>
    <row collapsed="false" customFormat="false" customHeight="false" hidden="false" ht="15.2" outlineLevel="0" r="1">
      <c r="B1" s="394" t="s">
        <v>753</v>
      </c>
      <c r="C1" s="394"/>
      <c r="D1" s="394"/>
      <c r="E1" s="394"/>
      <c r="F1" s="394"/>
      <c r="G1" s="394"/>
      <c r="H1" s="394"/>
      <c r="I1" s="394"/>
      <c r="J1" s="394"/>
      <c r="K1" s="394"/>
      <c r="L1" s="394"/>
    </row>
    <row collapsed="false" customFormat="false" customHeight="false" hidden="false" ht="11.6" outlineLevel="0" r="2">
      <c r="B2" s="716"/>
      <c r="C2" s="717"/>
      <c r="D2" s="716"/>
      <c r="E2" s="716"/>
      <c r="F2" s="716"/>
      <c r="G2" s="716"/>
      <c r="H2" s="716"/>
      <c r="I2" s="716"/>
      <c r="J2" s="716"/>
      <c r="K2" s="716"/>
      <c r="L2" s="716"/>
    </row>
    <row collapsed="false" customFormat="false" customHeight="true" hidden="false" ht="12" outlineLevel="0" r="3">
      <c r="B3" s="718" t="s">
        <v>754</v>
      </c>
      <c r="C3" s="719" t="s">
        <v>755</v>
      </c>
      <c r="D3" s="719" t="s">
        <v>756</v>
      </c>
      <c r="E3" s="719" t="s">
        <v>757</v>
      </c>
      <c r="F3" s="719" t="s">
        <v>758</v>
      </c>
      <c r="G3" s="719" t="s">
        <v>759</v>
      </c>
      <c r="H3" s="720" t="s">
        <v>760</v>
      </c>
      <c r="I3" s="720"/>
      <c r="J3" s="720"/>
      <c r="K3" s="721" t="s">
        <v>761</v>
      </c>
      <c r="L3" s="721"/>
    </row>
    <row collapsed="false" customFormat="false" customHeight="false" hidden="false" ht="30.55" outlineLevel="0" r="4">
      <c r="B4" s="718"/>
      <c r="C4" s="719" t="s">
        <v>755</v>
      </c>
      <c r="D4" s="719" t="s">
        <v>756</v>
      </c>
      <c r="E4" s="719" t="s">
        <v>757</v>
      </c>
      <c r="F4" s="719" t="s">
        <v>762</v>
      </c>
      <c r="G4" s="719" t="s">
        <v>763</v>
      </c>
      <c r="H4" s="722" t="s">
        <v>764</v>
      </c>
      <c r="I4" s="722" t="s">
        <v>765</v>
      </c>
      <c r="J4" s="722" t="s">
        <v>766</v>
      </c>
      <c r="K4" s="722" t="s">
        <v>767</v>
      </c>
      <c r="L4" s="723" t="s">
        <v>768</v>
      </c>
    </row>
    <row collapsed="false" customFormat="false" customHeight="false" hidden="false" ht="12.8" outlineLevel="0" r="5">
      <c r="A5" s="713" t="n">
        <v>1</v>
      </c>
      <c r="B5" s="724" t="str">
        <f aca="false">5_Produccion_Desagregada_09_10!C5</f>
        <v>Servicios Ambulatorios</v>
      </c>
      <c r="C5" s="725"/>
      <c r="D5" s="725"/>
      <c r="E5" s="725"/>
      <c r="F5" s="725"/>
      <c r="G5" s="725"/>
      <c r="H5" s="725"/>
      <c r="I5" s="725"/>
      <c r="J5" s="725"/>
      <c r="K5" s="725"/>
      <c r="L5" s="726"/>
    </row>
    <row collapsed="false" customFormat="false" customHeight="false" hidden="false" ht="12.8" outlineLevel="0" r="6">
      <c r="A6" s="727" t="n">
        <v>1.1</v>
      </c>
      <c r="B6" s="728" t="str">
        <f aca="false">5_Produccion_Desagregada_09_10!C7</f>
        <v>Consulta General </v>
      </c>
      <c r="C6" s="116"/>
      <c r="D6" s="116"/>
      <c r="E6" s="116"/>
      <c r="F6" s="116"/>
      <c r="G6" s="116"/>
      <c r="H6" s="116"/>
      <c r="I6" s="116"/>
      <c r="J6" s="116"/>
      <c r="K6" s="116"/>
      <c r="L6" s="729"/>
    </row>
    <row collapsed="false" customFormat="false" customHeight="false" hidden="false" ht="11.9" outlineLevel="0" r="7">
      <c r="A7" s="727"/>
      <c r="B7" s="730" t="s">
        <v>769</v>
      </c>
      <c r="C7" s="731" t="n">
        <f aca="false">10_Distribucion_RRHH!C10</f>
        <v>132</v>
      </c>
      <c r="D7" s="731" t="n">
        <f aca="false">C7*13_Normas_Programacion!$C$12</f>
        <v>1584</v>
      </c>
      <c r="E7" s="731" t="n">
        <f aca="false">5_Produccion_Desagregada_09_10!F7</f>
        <v>0</v>
      </c>
      <c r="F7" s="732" t="n">
        <f aca="false">IF(ISERROR(E7/D7),"",E7/D7)</f>
        <v>0</v>
      </c>
      <c r="G7" s="732" t="n">
        <f aca="false">14_Produc_Rend_Cons_Cgia_10!F5</f>
        <v>6</v>
      </c>
      <c r="H7" s="731" t="n">
        <f aca="false">IF(ISERROR(E7/G7),"",E7/G7)</f>
        <v>0</v>
      </c>
      <c r="I7" s="731" t="n">
        <f aca="false">D7</f>
        <v>1584</v>
      </c>
      <c r="J7" s="733" t="str">
        <f aca="false">IF(ISERROR(I7/H7),"",I7/H7)</f>
        <v/>
      </c>
      <c r="K7" s="731" t="n">
        <f aca="false">IF(ISERROR(I7-H7),"",I7-H7)</f>
        <v>1584</v>
      </c>
      <c r="L7" s="734" t="n">
        <f aca="false">IF(ISNUMBER(K7),K7/13_Normas_Programacion!$C$12,"")</f>
        <v>132</v>
      </c>
    </row>
    <row collapsed="false" customFormat="false" customHeight="false" hidden="false" ht="12.8" outlineLevel="0" r="8">
      <c r="A8" s="727" t="n">
        <v>1.2</v>
      </c>
      <c r="B8" s="728" t="str">
        <f aca="false">5_Produccion_Desagregada_09_10!C9</f>
        <v>Consultas de Especializadades Básicas</v>
      </c>
      <c r="C8" s="116"/>
      <c r="D8" s="116"/>
      <c r="E8" s="116"/>
      <c r="F8" s="116"/>
      <c r="G8" s="116"/>
      <c r="H8" s="116"/>
      <c r="I8" s="116"/>
      <c r="J8" s="116"/>
      <c r="K8" s="116"/>
      <c r="L8" s="729"/>
    </row>
    <row collapsed="false" customFormat="false" customHeight="false" hidden="false" ht="11.6" outlineLevel="0" r="9">
      <c r="A9" s="727"/>
      <c r="B9" s="730" t="s">
        <v>770</v>
      </c>
      <c r="C9" s="735" t="n">
        <f aca="false">SUM(10_Distribucion_RRHH!N13:N14)-C10</f>
        <v>176</v>
      </c>
      <c r="D9" s="735" t="n">
        <f aca="false">(C9+C10)*13_Normas_Programacion!$C$12</f>
        <v>10560</v>
      </c>
      <c r="E9" s="736" t="n">
        <f aca="false">5_Produccion_Desagregada_09_10!F9</f>
        <v>0</v>
      </c>
      <c r="F9" s="737" t="n">
        <f aca="false">IF(ISERROR(E9/D9),"",E9/D9)</f>
        <v>0</v>
      </c>
      <c r="G9" s="738" t="n">
        <f aca="false">IF(ISERROR(AVERAGE(14_Produc_Rend_Cons_Cgia_10!F6:F7)),"",AVERAGE(14_Produc_Rend_Cons_Cgia_10!F6:F7))</f>
        <v>4</v>
      </c>
      <c r="H9" s="739" t="n">
        <f aca="false">IF(ISERROR(E9/G9),"",E9/G9)</f>
        <v>0</v>
      </c>
      <c r="I9" s="735" t="n">
        <f aca="false">D9</f>
        <v>10560</v>
      </c>
      <c r="J9" s="733" t="str">
        <f aca="false">IF(ISERROR(I9/H9),"",I9/H9)</f>
        <v/>
      </c>
      <c r="K9" s="739" t="n">
        <f aca="false">IF(ISERROR(I9-H9),"",I9-H9)</f>
        <v>10560</v>
      </c>
      <c r="L9" s="740" t="n">
        <f aca="false">IF(ISNUMBER(K9),K9/13_Normas_Programacion!$C$12,"")</f>
        <v>880</v>
      </c>
    </row>
    <row collapsed="false" customFormat="false" customHeight="false" hidden="false" ht="11.6" outlineLevel="0" r="10">
      <c r="A10" s="727"/>
      <c r="B10" s="730" t="s">
        <v>771</v>
      </c>
      <c r="C10" s="735" t="n">
        <f aca="false">SUM(10_Distribucion_RRHH!I13:I14)</f>
        <v>704</v>
      </c>
      <c r="D10" s="735"/>
      <c r="E10" s="735"/>
      <c r="F10" s="737"/>
      <c r="G10" s="738"/>
      <c r="H10" s="739"/>
      <c r="I10" s="735"/>
      <c r="J10" s="733"/>
      <c r="K10" s="739"/>
      <c r="L10" s="740"/>
      <c r="O10" s="741"/>
    </row>
    <row collapsed="false" customFormat="false" customHeight="false" hidden="false" ht="12.8" outlineLevel="0" r="11">
      <c r="A11" s="727" t="n">
        <v>1.3</v>
      </c>
      <c r="B11" s="728" t="str">
        <f aca="false">5_Produccion_Desagregada_09_10!C12</f>
        <v>Consultas de Sub Especializadades</v>
      </c>
      <c r="C11" s="116"/>
      <c r="D11" s="116"/>
      <c r="E11" s="116"/>
      <c r="F11" s="116"/>
      <c r="G11" s="116"/>
      <c r="H11" s="116"/>
      <c r="I11" s="116"/>
      <c r="J11" s="116"/>
      <c r="K11" s="116"/>
      <c r="L11" s="729"/>
    </row>
    <row collapsed="false" customFormat="false" customHeight="false" hidden="false" ht="11.6" outlineLevel="0" r="12">
      <c r="A12" s="727"/>
      <c r="B12" s="730" t="s">
        <v>772</v>
      </c>
      <c r="C12" s="735" t="n">
        <f aca="false">SUM(10_Distribucion_RRHH!N16:N18)-C13</f>
        <v>3228.58</v>
      </c>
      <c r="D12" s="735" t="n">
        <f aca="false">(C12+C13)*13_Normas_Programacion!$C$12</f>
        <v>49302.96</v>
      </c>
      <c r="E12" s="736" t="n">
        <f aca="false">5_Produccion_Desagregada_09_10!F12</f>
        <v>207721</v>
      </c>
      <c r="F12" s="737" t="n">
        <f aca="false">IF(ISERROR(E12/D12),"",E12/D12)</f>
        <v>4.21315474770683</v>
      </c>
      <c r="G12" s="738" t="n">
        <f aca="false">IF(ISERROR(AVERAGE(14_Produc_Rend_Cons_Cgia_10!F8:F10)),"",AVERAGE(14_Produc_Rend_Cons_Cgia_10!F8:F10))</f>
        <v>4</v>
      </c>
      <c r="H12" s="739" t="n">
        <f aca="false">IF(ISERROR(E12/G12),"",E12/G12)</f>
        <v>51930.25</v>
      </c>
      <c r="I12" s="735" t="n">
        <f aca="false">D12</f>
        <v>49302.96</v>
      </c>
      <c r="J12" s="733" t="n">
        <f aca="false">IF(ISERROR(I12/H12),"",I12/H12)</f>
        <v>0.949407330024408</v>
      </c>
      <c r="K12" s="739" t="n">
        <f aca="false">IF(ISERROR(I12-H12),"",I12-H12)</f>
        <v>-2627.29</v>
      </c>
      <c r="L12" s="740" t="n">
        <f aca="false">IF(ISNUMBER(K12),K12/13_Normas_Programacion!$C$12,"")</f>
        <v>-218.940833333333</v>
      </c>
    </row>
    <row collapsed="false" customFormat="false" customHeight="false" hidden="false" ht="11.6" outlineLevel="0" r="13">
      <c r="A13" s="727"/>
      <c r="B13" s="730" t="s">
        <v>771</v>
      </c>
      <c r="C13" s="735" t="n">
        <f aca="false">SUM(10_Distribucion_RRHH!I16:I18)</f>
        <v>880</v>
      </c>
      <c r="D13" s="735"/>
      <c r="E13" s="735"/>
      <c r="F13" s="737"/>
      <c r="G13" s="738"/>
      <c r="H13" s="739"/>
      <c r="I13" s="735"/>
      <c r="J13" s="733"/>
      <c r="K13" s="739"/>
      <c r="L13" s="740"/>
    </row>
    <row collapsed="false" customFormat="false" customHeight="false" hidden="false" ht="12.8" outlineLevel="0" r="14">
      <c r="A14" s="727" t="n">
        <v>1.4</v>
      </c>
      <c r="B14" s="728" t="str">
        <f aca="false">5_Produccion_Desagregada_09_10!C16</f>
        <v>Consulta de Emergencia</v>
      </c>
      <c r="C14" s="116"/>
      <c r="D14" s="116"/>
      <c r="E14" s="116"/>
      <c r="F14" s="116"/>
      <c r="G14" s="116"/>
      <c r="H14" s="116"/>
      <c r="I14" s="116"/>
      <c r="J14" s="116"/>
      <c r="K14" s="116"/>
      <c r="L14" s="729"/>
    </row>
    <row collapsed="false" customFormat="false" customHeight="false" hidden="false" ht="11.6" outlineLevel="0" r="15">
      <c r="A15" s="727"/>
      <c r="B15" s="730" t="s">
        <v>536</v>
      </c>
      <c r="C15" s="735" t="n">
        <f aca="false">SUM(10_Distribucion_RRHH!C20:C21)</f>
        <v>0</v>
      </c>
      <c r="D15" s="735" t="n">
        <f aca="false">SUM(C15:C17)*13_Normas_Programacion!$C$12</f>
        <v>63600.24</v>
      </c>
      <c r="E15" s="736" t="n">
        <f aca="false">5_Produccion_Desagregada_09_10!F16</f>
        <v>23268</v>
      </c>
      <c r="F15" s="737" t="n">
        <f aca="false">IF(ISERROR(E15/D15),"",E15/D15)</f>
        <v>0.365847676046505</v>
      </c>
      <c r="G15" s="738" t="n">
        <f aca="false">IF(ISERROR(AVERAGE(14_Produc_Rend_Cons_Cgia_10!F12:F13)),"",AVERAGE(14_Produc_Rend_Cons_Cgia_10!F12:F13))</f>
        <v>2</v>
      </c>
      <c r="H15" s="739" t="n">
        <f aca="false">IF(ISERROR(E15/G15),"",E15/G15)</f>
        <v>11634</v>
      </c>
      <c r="I15" s="735" t="n">
        <f aca="false">D15</f>
        <v>63600.24</v>
      </c>
      <c r="J15" s="733" t="n">
        <f aca="false">IF(ISERROR(I15/H15),"",I15/H15)</f>
        <v>5.46675605982465</v>
      </c>
      <c r="K15" s="739" t="n">
        <f aca="false">IF(ISERROR(I15-H15),"",I15-H15)</f>
        <v>51966.24</v>
      </c>
      <c r="L15" s="740" t="n">
        <f aca="false">IF(ISNUMBER(K15),K15/13_Normas_Programacion!$C$12,"")</f>
        <v>4330.52</v>
      </c>
    </row>
    <row collapsed="false" customFormat="false" customHeight="false" hidden="false" ht="11.6" outlineLevel="0" r="16">
      <c r="A16" s="727"/>
      <c r="B16" s="730" t="s">
        <v>770</v>
      </c>
      <c r="C16" s="735" t="n">
        <f aca="false">SUM(10_Distribucion_RRHH!N20:N21)-SUM(C15+C17)</f>
        <v>3540.02</v>
      </c>
      <c r="D16" s="735"/>
      <c r="E16" s="736"/>
      <c r="F16" s="737"/>
      <c r="G16" s="738"/>
      <c r="H16" s="739"/>
      <c r="I16" s="735"/>
      <c r="J16" s="733"/>
      <c r="K16" s="739"/>
      <c r="L16" s="740"/>
    </row>
    <row collapsed="false" customFormat="false" customHeight="false" hidden="false" ht="11.6" outlineLevel="0" r="17">
      <c r="A17" s="727"/>
      <c r="B17" s="730" t="s">
        <v>771</v>
      </c>
      <c r="C17" s="735" t="n">
        <f aca="false">SUM(10_Distribucion_RRHH!I20:I21)</f>
        <v>1760</v>
      </c>
      <c r="D17" s="735"/>
      <c r="E17" s="736"/>
      <c r="F17" s="737"/>
      <c r="G17" s="738"/>
      <c r="H17" s="739"/>
      <c r="I17" s="735"/>
      <c r="J17" s="733"/>
      <c r="K17" s="739"/>
      <c r="L17" s="740"/>
    </row>
    <row collapsed="false" customFormat="false" customHeight="false" hidden="false" ht="12.8" outlineLevel="0" r="18">
      <c r="A18" s="727" t="n">
        <v>1.5</v>
      </c>
      <c r="B18" s="728" t="str">
        <f aca="false">5_Produccion_Desagregada_09_10!C19</f>
        <v>Consulta Externa Odontologica</v>
      </c>
      <c r="C18" s="116"/>
      <c r="D18" s="116"/>
      <c r="E18" s="116"/>
      <c r="F18" s="116"/>
      <c r="G18" s="116"/>
      <c r="H18" s="116"/>
      <c r="I18" s="116"/>
      <c r="J18" s="116"/>
      <c r="K18" s="116"/>
      <c r="L18" s="729"/>
    </row>
    <row collapsed="false" customFormat="false" customHeight="false" hidden="false" ht="11.9" outlineLevel="0" r="19">
      <c r="A19" s="727"/>
      <c r="B19" s="730" t="s">
        <v>773</v>
      </c>
      <c r="C19" s="735" t="n">
        <f aca="false">SUM(10_Distribucion_RRHH!N23:N24)</f>
        <v>572</v>
      </c>
      <c r="D19" s="731" t="n">
        <f aca="false">C19*13_Normas_Programacion!$C$12</f>
        <v>6864</v>
      </c>
      <c r="E19" s="736" t="n">
        <f aca="false">5_Produccion_Desagregada_09_10!F19</f>
        <v>17608</v>
      </c>
      <c r="F19" s="732" t="n">
        <f aca="false">IF(ISERROR(E19/D19),"",E19/D19)</f>
        <v>2.56526806526807</v>
      </c>
      <c r="G19" s="738" t="n">
        <f aca="false">IF(ISERROR(AVERAGE(14_Produc_Rend_Cons_Cgia_10!F15:F16)),"",AVERAGE(14_Produc_Rend_Cons_Cgia_10!F15:F16))</f>
        <v>2</v>
      </c>
      <c r="H19" s="731" t="n">
        <f aca="false">IF(ISERROR(E19/G19),"",E19/G19)</f>
        <v>8804</v>
      </c>
      <c r="I19" s="731" t="n">
        <f aca="false">D19</f>
        <v>6864</v>
      </c>
      <c r="J19" s="733" t="n">
        <f aca="false">IF(ISERROR(I19/H19),"",I19/H19)</f>
        <v>0.779645615629259</v>
      </c>
      <c r="K19" s="731" t="n">
        <f aca="false">IF(ISERROR(I19-H19),"",I19-H19)</f>
        <v>-1940</v>
      </c>
      <c r="L19" s="734" t="n">
        <f aca="false">IF(ISNUMBER(K19),K19/13_Normas_Programacion!$C$12,"")</f>
        <v>-161.666666666667</v>
      </c>
    </row>
    <row collapsed="false" customFormat="false" customHeight="false" hidden="false" ht="12.8" outlineLevel="0" r="20">
      <c r="A20" s="727" t="n">
        <v>1.6</v>
      </c>
      <c r="B20" s="728" t="str">
        <f aca="false">5_Produccion_Desagregada_09_10!C22</f>
        <v>Procedimientos de Cirugia Menor</v>
      </c>
      <c r="C20" s="116"/>
      <c r="D20" s="116"/>
      <c r="E20" s="116"/>
      <c r="F20" s="116"/>
      <c r="G20" s="116"/>
      <c r="H20" s="116"/>
      <c r="I20" s="116"/>
      <c r="J20" s="116"/>
      <c r="K20" s="116"/>
      <c r="L20" s="729"/>
    </row>
    <row collapsed="false" customFormat="false" customHeight="false" hidden="false" ht="11.6" outlineLevel="0" r="21">
      <c r="A21" s="727"/>
      <c r="B21" s="730" t="s">
        <v>536</v>
      </c>
      <c r="C21" s="735" t="n">
        <f aca="false">10_Distribucion_RRHH!C25</f>
        <v>0</v>
      </c>
      <c r="D21" s="735" t="e">
        <f aca="false">SUM(C21:C23)*13_Normas_Programacion!$C$12</f>
        <v>#VALUE!</v>
      </c>
      <c r="E21" s="736" t="n">
        <f aca="false">5_Produccion_Desagregada_09_10!F22</f>
        <v>10153</v>
      </c>
      <c r="F21" s="737" t="str">
        <f aca="false">IF(ISERROR(E21/D21),"",E21/D21)</f>
        <v/>
      </c>
      <c r="G21" s="732" t="str">
        <f aca="false">14_Produc_Rend_Cons_Cgia_10!F25</f>
        <v/>
      </c>
      <c r="H21" s="739" t="str">
        <f aca="false">IF(ISERROR(E21/G21),"",E21/G21)</f>
        <v/>
      </c>
      <c r="I21" s="735" t="e">
        <f aca="false">D21</f>
        <v>#VALUE!</v>
      </c>
      <c r="J21" s="733" t="str">
        <f aca="false">IF(ISERROR(I21/H21),"",I21/H21)</f>
        <v/>
      </c>
      <c r="K21" s="739" t="str">
        <f aca="false">IF(ISERROR(I21-H21),"",I21-H21)</f>
        <v/>
      </c>
      <c r="L21" s="740" t="str">
        <f aca="false">IF(ISNUMBER(K21),K21/13_Normas_Programacion!$C$12,"")</f>
        <v/>
      </c>
    </row>
    <row collapsed="false" customFormat="false" customHeight="false" hidden="false" ht="11.6" outlineLevel="0" r="22">
      <c r="A22" s="727"/>
      <c r="B22" s="730" t="s">
        <v>770</v>
      </c>
      <c r="C22" s="735" t="e">
        <f aca="false">10_Distribucion_RRHH!N25-SUM(C21+C23)</f>
        <v>#VALUE!</v>
      </c>
      <c r="D22" s="735"/>
      <c r="E22" s="736"/>
      <c r="F22" s="737"/>
      <c r="G22" s="732"/>
      <c r="H22" s="739"/>
      <c r="I22" s="735"/>
      <c r="J22" s="733"/>
      <c r="K22" s="739"/>
      <c r="L22" s="740"/>
    </row>
    <row collapsed="false" customFormat="false" customHeight="false" hidden="false" ht="11.6" outlineLevel="0" r="23">
      <c r="A23" s="727"/>
      <c r="B23" s="730" t="s">
        <v>771</v>
      </c>
      <c r="C23" s="735" t="str">
        <f aca="false">10_Distribucion_RRHH!I25</f>
        <v>N/A</v>
      </c>
      <c r="D23" s="735"/>
      <c r="E23" s="736"/>
      <c r="F23" s="737"/>
      <c r="G23" s="732"/>
      <c r="H23" s="739"/>
      <c r="I23" s="735"/>
      <c r="J23" s="733"/>
      <c r="K23" s="739"/>
      <c r="L23" s="740"/>
    </row>
    <row collapsed="false" customFormat="false" customHeight="false" hidden="false" ht="12.8" outlineLevel="0" r="24">
      <c r="A24" s="727" t="n">
        <v>1.7</v>
      </c>
      <c r="B24" s="728" t="str">
        <f aca="false">5_Produccion_Desagregada_09_10!C23</f>
        <v>Otros Procedimientos Ambulatorios</v>
      </c>
      <c r="C24" s="116"/>
      <c r="D24" s="116"/>
      <c r="E24" s="116"/>
      <c r="F24" s="116"/>
      <c r="G24" s="116"/>
      <c r="H24" s="116"/>
      <c r="I24" s="116"/>
      <c r="J24" s="116"/>
      <c r="K24" s="116"/>
      <c r="L24" s="729"/>
    </row>
    <row collapsed="false" customFormat="false" customHeight="false" hidden="false" ht="11.6" outlineLevel="0" r="25">
      <c r="A25" s="727"/>
      <c r="B25" s="730" t="s">
        <v>536</v>
      </c>
      <c r="C25" s="735" t="n">
        <f aca="false">SUM(10_Distribucion_RRHH!C27:C34)</f>
        <v>0</v>
      </c>
      <c r="D25" s="735" t="n">
        <f aca="false">SUM(C25:C27)*13_Normas_Programacion!$C$12</f>
        <v>17315.76</v>
      </c>
      <c r="E25" s="736" t="n">
        <f aca="false">5_Produccion_Desagregada_09_10!F23</f>
        <v>49559</v>
      </c>
      <c r="F25" s="737" t="n">
        <f aca="false">IF(ISERROR(E25/D25),"",E25/D25)</f>
        <v>2.86207478043124</v>
      </c>
      <c r="G25" s="732" t="str">
        <f aca="false">IF(ISERROR(14_Produc_Rend_Cons_Cgia_10!F33),"",14_Produc_Rend_Cons_Cgia_10!F33)</f>
        <v/>
      </c>
      <c r="H25" s="739" t="str">
        <f aca="false">IF(ISERROR(E25/G25),"",E25/G25)</f>
        <v/>
      </c>
      <c r="I25" s="735" t="n">
        <f aca="false">D25</f>
        <v>17315.76</v>
      </c>
      <c r="J25" s="733" t="str">
        <f aca="false">IF(ISERROR(I25/H25),"",I25/H25)</f>
        <v/>
      </c>
      <c r="K25" s="739" t="str">
        <f aca="false">IF(ISERROR(I25-H25),"",I25-H25)</f>
        <v/>
      </c>
      <c r="L25" s="740" t="str">
        <f aca="false">IF(ISNUMBER(K25),K25/13_Normas_Programacion!$C$12,"")</f>
        <v/>
      </c>
    </row>
    <row collapsed="false" customFormat="false" customHeight="false" hidden="false" ht="11.6" outlineLevel="0" r="26">
      <c r="A26" s="727"/>
      <c r="B26" s="730" t="s">
        <v>770</v>
      </c>
      <c r="C26" s="735" t="n">
        <f aca="false">(SUM(10_Distribucion_RRHH!N27:N34)-SUM(C25,C27))</f>
        <v>386.98</v>
      </c>
      <c r="D26" s="735"/>
      <c r="E26" s="736"/>
      <c r="F26" s="737"/>
      <c r="G26" s="732"/>
      <c r="H26" s="739"/>
      <c r="I26" s="735"/>
      <c r="J26" s="733"/>
      <c r="K26" s="739"/>
      <c r="L26" s="740"/>
    </row>
    <row collapsed="false" customFormat="false" customHeight="false" hidden="false" ht="11.6" outlineLevel="0" r="27">
      <c r="A27" s="727"/>
      <c r="B27" s="730" t="s">
        <v>771</v>
      </c>
      <c r="C27" s="735" t="n">
        <f aca="false">SUM(10_Distribucion_RRHH!I27:I34)</f>
        <v>1056</v>
      </c>
      <c r="D27" s="735"/>
      <c r="E27" s="736"/>
      <c r="F27" s="737"/>
      <c r="G27" s="732"/>
      <c r="H27" s="739"/>
      <c r="I27" s="735"/>
      <c r="J27" s="733"/>
      <c r="K27" s="739"/>
      <c r="L27" s="740"/>
    </row>
    <row collapsed="false" customFormat="false" customHeight="false" hidden="false" ht="12.8" outlineLevel="0" r="28">
      <c r="A28" s="713" t="n">
        <v>2</v>
      </c>
      <c r="B28" s="724" t="str">
        <f aca="false">5_Produccion_Desagregada_09_10!C32</f>
        <v>Servicios Hospitalarios </v>
      </c>
      <c r="C28" s="725"/>
      <c r="D28" s="725"/>
      <c r="E28" s="725"/>
      <c r="F28" s="725"/>
      <c r="G28" s="725"/>
      <c r="H28" s="725"/>
      <c r="I28" s="725"/>
      <c r="J28" s="725"/>
      <c r="K28" s="725"/>
      <c r="L28" s="726"/>
    </row>
    <row collapsed="false" customFormat="false" customHeight="false" hidden="false" ht="12.8" outlineLevel="0" r="29">
      <c r="A29" s="727" t="n">
        <v>2.1</v>
      </c>
      <c r="B29" s="728" t="s">
        <v>327</v>
      </c>
      <c r="C29" s="116"/>
      <c r="D29" s="116"/>
      <c r="E29" s="116"/>
      <c r="F29" s="116"/>
      <c r="G29" s="116"/>
      <c r="H29" s="116"/>
      <c r="I29" s="116"/>
      <c r="J29" s="116"/>
      <c r="K29" s="116"/>
      <c r="L29" s="729"/>
    </row>
    <row collapsed="false" customFormat="false" customHeight="false" hidden="false" ht="11.6" outlineLevel="0" r="30">
      <c r="A30" s="727" t="s">
        <v>391</v>
      </c>
      <c r="B30" s="742" t="str">
        <f aca="false">5_Produccion_Desagregada_09_10!C35</f>
        <v>Medicina Interna </v>
      </c>
      <c r="C30" s="743"/>
      <c r="D30" s="744"/>
      <c r="E30" s="744"/>
      <c r="F30" s="744"/>
      <c r="G30" s="744"/>
      <c r="H30" s="744"/>
      <c r="I30" s="744"/>
      <c r="J30" s="744"/>
      <c r="K30" s="744"/>
      <c r="L30" s="745"/>
    </row>
    <row collapsed="false" customFormat="false" customHeight="false" hidden="false" ht="11.6" outlineLevel="0" r="31">
      <c r="A31" s="727"/>
      <c r="B31" s="730" t="s">
        <v>770</v>
      </c>
      <c r="C31" s="735" t="n">
        <f aca="false">10_Distribucion_RRHH!N37-C32</f>
        <v>396</v>
      </c>
      <c r="D31" s="735" t="n">
        <f aca="false">(C31+C32)*13_Normas_Programacion!$C$12</f>
        <v>13200</v>
      </c>
      <c r="E31" s="736" t="n">
        <f aca="false">5_Produccion_Desagregada_09_10!F35</f>
        <v>1106</v>
      </c>
      <c r="F31" s="737" t="n">
        <f aca="false">IF(ISERROR(E31/D31),"",E31/D31)</f>
        <v>0.0837878787878788</v>
      </c>
      <c r="G31" s="738" t="str">
        <f aca="false">IF(ISERROR(15_Produc_Rendi_Hosp_10!D12/SUM(15_Produc_Rendi_Hosp_10!F5,15_Produc_Rendi_Hosp_10!F15)),"",15_Produc_Rendi_Hosp_10!D12/SUM(15_Produc_Rendi_Hosp_10!F5,15_Produc_Rendi_Hosp_10!F15))</f>
        <v/>
      </c>
      <c r="H31" s="739" t="str">
        <f aca="false">IF(ISERROR(E31/G31),"",E31/G31)</f>
        <v/>
      </c>
      <c r="I31" s="735" t="n">
        <f aca="false">D31</f>
        <v>13200</v>
      </c>
      <c r="J31" s="733" t="str">
        <f aca="false">IF(ISERROR(I31/H31),"",I31/H31)</f>
        <v/>
      </c>
      <c r="K31" s="739" t="str">
        <f aca="false">IF(ISERROR(I31-H31),"",I31-H31)</f>
        <v/>
      </c>
      <c r="L31" s="740" t="str">
        <f aca="false">IF(ISNUMBER(K31),K31/13_Normas_Programacion!$C$12,"")</f>
        <v/>
      </c>
    </row>
    <row collapsed="false" customFormat="false" customHeight="false" hidden="false" ht="11.6" outlineLevel="0" r="32">
      <c r="A32" s="727"/>
      <c r="B32" s="730" t="s">
        <v>771</v>
      </c>
      <c r="C32" s="735" t="n">
        <f aca="false">10_Distribucion_RRHH!I37</f>
        <v>704</v>
      </c>
      <c r="D32" s="735"/>
      <c r="E32" s="735"/>
      <c r="F32" s="737"/>
      <c r="G32" s="738"/>
      <c r="H32" s="739"/>
      <c r="I32" s="735"/>
      <c r="J32" s="733"/>
      <c r="K32" s="739"/>
      <c r="L32" s="740"/>
    </row>
    <row collapsed="false" customFormat="false" customHeight="false" hidden="false" ht="11.6" outlineLevel="0" r="33">
      <c r="A33" s="727" t="s">
        <v>404</v>
      </c>
      <c r="B33" s="742" t="str">
        <f aca="false">5_Produccion_Desagregada_09_10!C36</f>
        <v>Infectología</v>
      </c>
      <c r="C33" s="743"/>
      <c r="D33" s="744"/>
      <c r="E33" s="744"/>
      <c r="F33" s="744"/>
      <c r="G33" s="744"/>
      <c r="H33" s="744"/>
      <c r="I33" s="744"/>
      <c r="J33" s="744"/>
      <c r="K33" s="744"/>
      <c r="L33" s="745"/>
    </row>
    <row collapsed="false" customFormat="false" customHeight="false" hidden="false" ht="11.6" outlineLevel="0" r="34">
      <c r="A34" s="727"/>
      <c r="B34" s="730" t="s">
        <v>770</v>
      </c>
      <c r="C34" s="735" t="n">
        <f aca="false">10_Distribucion_RRHH!N38-C35</f>
        <v>176</v>
      </c>
      <c r="D34" s="735" t="n">
        <f aca="false">(C34+C35)*13_Normas_Programacion!$C$12</f>
        <v>14784</v>
      </c>
      <c r="E34" s="736" t="n">
        <f aca="false">5_Produccion_Desagregada_09_10!F36</f>
        <v>2282</v>
      </c>
      <c r="F34" s="737" t="n">
        <f aca="false">IF(ISERROR(E34/D34),"",E34/D34)</f>
        <v>0.154356060606061</v>
      </c>
      <c r="G34" s="735" t="str">
        <f aca="false">IF(ISERROR(15_Produc_Rendi_Hosp_10!D24/SUM(15_Produc_Rendi_Hosp_10!F17,15_Produc_Rendi_Hosp_10!F27)),"",15_Produc_Rendi_Hosp_10!D24/SUM(15_Produc_Rendi_Hosp_10!F17,15_Produc_Rendi_Hosp_10!F27))</f>
        <v/>
      </c>
      <c r="H34" s="739" t="str">
        <f aca="false">IF(ISERROR(E34/G34),"",E34/G34)</f>
        <v/>
      </c>
      <c r="I34" s="735" t="n">
        <f aca="false">D34</f>
        <v>14784</v>
      </c>
      <c r="J34" s="733" t="str">
        <f aca="false">IF(ISERROR(I34/H34),"",I34/H34)</f>
        <v/>
      </c>
      <c r="K34" s="739" t="str">
        <f aca="false">IF(ISERROR(I34-H34),"",I34-H34)</f>
        <v/>
      </c>
      <c r="L34" s="740" t="str">
        <f aca="false">IF(ISNUMBER(K34),K34/13_Normas_Programacion!$C$12,"")</f>
        <v/>
      </c>
    </row>
    <row collapsed="false" customFormat="false" customHeight="false" hidden="false" ht="11.6" outlineLevel="0" r="35">
      <c r="A35" s="727"/>
      <c r="B35" s="730" t="s">
        <v>771</v>
      </c>
      <c r="C35" s="735" t="n">
        <f aca="false">10_Distribucion_RRHH!I38</f>
        <v>1056</v>
      </c>
      <c r="D35" s="735"/>
      <c r="E35" s="735"/>
      <c r="F35" s="737"/>
      <c r="G35" s="735"/>
      <c r="H35" s="739"/>
      <c r="I35" s="735"/>
      <c r="J35" s="733"/>
      <c r="K35" s="739"/>
      <c r="L35" s="740"/>
    </row>
    <row collapsed="false" customFormat="false" customHeight="false" hidden="false" ht="11.6" outlineLevel="0" r="36">
      <c r="A36" s="727" t="s">
        <v>418</v>
      </c>
      <c r="B36" s="742" t="str">
        <f aca="false">5_Produccion_Desagregada_09_10!C37</f>
        <v>Nefrología</v>
      </c>
      <c r="C36" s="743"/>
      <c r="D36" s="744"/>
      <c r="E36" s="744"/>
      <c r="F36" s="744"/>
      <c r="G36" s="744"/>
      <c r="H36" s="744"/>
      <c r="I36" s="744"/>
      <c r="J36" s="744"/>
      <c r="K36" s="744"/>
      <c r="L36" s="745"/>
    </row>
    <row collapsed="false" customFormat="false" customHeight="false" hidden="false" ht="11.6" outlineLevel="0" r="37">
      <c r="A37" s="727"/>
      <c r="B37" s="730" t="s">
        <v>770</v>
      </c>
      <c r="C37" s="735" t="n">
        <f aca="false">10_Distribucion_RRHH!N39-C38</f>
        <v>66</v>
      </c>
      <c r="D37" s="735" t="n">
        <f aca="false">(C37+C38)*13_Normas_Programacion!$C$12</f>
        <v>5016</v>
      </c>
      <c r="E37" s="736" t="n">
        <f aca="false">5_Produccion_Desagregada_09_10!F37</f>
        <v>323</v>
      </c>
      <c r="F37" s="737" t="n">
        <f aca="false">IF(ISERROR(E37/D37),"",E37/D37)</f>
        <v>0.0643939393939394</v>
      </c>
      <c r="G37" s="735" t="str">
        <f aca="false">IF(ISERROR(15_Produc_Rendi_Hosp_10!D36/SUM(15_Produc_Rendi_Hosp_10!F29,15_Produc_Rendi_Hosp_10!F39)),"",15_Produc_Rendi_Hosp_10!D36/SUM(15_Produc_Rendi_Hosp_10!F29,15_Produc_Rendi_Hosp_10!F39))</f>
        <v/>
      </c>
      <c r="H37" s="739" t="str">
        <f aca="false">IF(ISERROR(E37/G37),"",E37/G37)</f>
        <v/>
      </c>
      <c r="I37" s="735" t="n">
        <f aca="false">D37</f>
        <v>5016</v>
      </c>
      <c r="J37" s="733" t="str">
        <f aca="false">IF(ISERROR(I37/H37),"",I37/H37)</f>
        <v/>
      </c>
      <c r="K37" s="739" t="str">
        <f aca="false">IF(ISERROR(I37-H37),"",I37-H37)</f>
        <v/>
      </c>
      <c r="L37" s="740" t="str">
        <f aca="false">IF(ISNUMBER(K37),K37/13_Normas_Programacion!$C$12,"")</f>
        <v/>
      </c>
    </row>
    <row collapsed="false" customFormat="false" customHeight="false" hidden="false" ht="11.6" outlineLevel="0" r="38">
      <c r="A38" s="727"/>
      <c r="B38" s="730" t="s">
        <v>771</v>
      </c>
      <c r="C38" s="735" t="n">
        <f aca="false">10_Distribucion_RRHH!I39</f>
        <v>352</v>
      </c>
      <c r="D38" s="735"/>
      <c r="E38" s="735"/>
      <c r="F38" s="737"/>
      <c r="G38" s="735"/>
      <c r="H38" s="739"/>
      <c r="I38" s="735"/>
      <c r="J38" s="733"/>
      <c r="K38" s="739"/>
      <c r="L38" s="740"/>
    </row>
    <row collapsed="false" customFormat="false" customHeight="false" hidden="false" ht="11.6" outlineLevel="0" r="39">
      <c r="A39" s="727" t="s">
        <v>774</v>
      </c>
      <c r="B39" s="742" t="str">
        <f aca="false">5_Produccion_Desagregada_09_10!C38</f>
        <v>Hematología</v>
      </c>
      <c r="C39" s="743"/>
      <c r="D39" s="744"/>
      <c r="E39" s="744"/>
      <c r="F39" s="744"/>
      <c r="G39" s="744"/>
      <c r="H39" s="744"/>
      <c r="I39" s="744"/>
      <c r="J39" s="744"/>
      <c r="K39" s="744"/>
      <c r="L39" s="745"/>
    </row>
    <row collapsed="false" customFormat="false" customHeight="false" hidden="false" ht="11.6" outlineLevel="0" r="40">
      <c r="A40" s="727"/>
      <c r="B40" s="730" t="s">
        <v>770</v>
      </c>
      <c r="C40" s="735" t="n">
        <f aca="false">10_Distribucion_RRHH!N40-C41</f>
        <v>88</v>
      </c>
      <c r="D40" s="735" t="n">
        <f aca="false">(C40+C41)*13_Normas_Programacion!$C$12</f>
        <v>5280</v>
      </c>
      <c r="E40" s="736" t="n">
        <f aca="false">5_Produccion_Desagregada_09_10!F38</f>
        <v>958</v>
      </c>
      <c r="F40" s="737" t="n">
        <f aca="false">IF(ISERROR(E40/D40),"",E40/D40)</f>
        <v>0.181439393939394</v>
      </c>
      <c r="G40" s="735" t="str">
        <f aca="false">IF(ISERROR(15_Produc_Rendi_Hosp_10!D48/SUM(15_Produc_Rendi_Hosp_10!F41,15_Produc_Rendi_Hosp_10!F51)),"",15_Produc_Rendi_Hosp_10!D48/SUM(15_Produc_Rendi_Hosp_10!F41,15_Produc_Rendi_Hosp_10!F51))</f>
        <v/>
      </c>
      <c r="H40" s="739" t="str">
        <f aca="false">IF(ISERROR(E40/G40),"",E40/G40)</f>
        <v/>
      </c>
      <c r="I40" s="735" t="n">
        <f aca="false">D40</f>
        <v>5280</v>
      </c>
      <c r="J40" s="733" t="str">
        <f aca="false">IF(ISERROR(I40/H40),"",I40/H40)</f>
        <v/>
      </c>
      <c r="K40" s="739" t="str">
        <f aca="false">IF(ISERROR(I40-H40),"",I40-H40)</f>
        <v/>
      </c>
      <c r="L40" s="740" t="str">
        <f aca="false">IF(ISNUMBER(K40),K40/13_Normas_Programacion!$C$12,"")</f>
        <v/>
      </c>
    </row>
    <row collapsed="false" customFormat="false" customHeight="false" hidden="false" ht="11.6" outlineLevel="0" r="41">
      <c r="A41" s="727"/>
      <c r="B41" s="730" t="s">
        <v>771</v>
      </c>
      <c r="C41" s="735" t="n">
        <f aca="false">10_Distribucion_RRHH!I40</f>
        <v>352</v>
      </c>
      <c r="D41" s="735"/>
      <c r="E41" s="735"/>
      <c r="F41" s="737"/>
      <c r="G41" s="735"/>
      <c r="H41" s="739"/>
      <c r="I41" s="735"/>
      <c r="J41" s="733"/>
      <c r="K41" s="739"/>
      <c r="L41" s="740"/>
    </row>
    <row collapsed="false" customFormat="false" customHeight="false" hidden="false" ht="11.6" outlineLevel="0" r="42">
      <c r="A42" s="727" t="s">
        <v>775</v>
      </c>
      <c r="B42" s="742" t="str">
        <f aca="false">5_Produccion_Desagregada_09_10!C39</f>
        <v>Oncología</v>
      </c>
      <c r="C42" s="743"/>
      <c r="D42" s="744"/>
      <c r="E42" s="744"/>
      <c r="F42" s="744"/>
      <c r="G42" s="744"/>
      <c r="H42" s="744"/>
      <c r="I42" s="744"/>
      <c r="J42" s="744"/>
      <c r="K42" s="744"/>
      <c r="L42" s="745"/>
    </row>
    <row collapsed="false" customFormat="false" customHeight="false" hidden="false" ht="11.6" outlineLevel="0" r="43">
      <c r="A43" s="727"/>
      <c r="B43" s="730" t="s">
        <v>770</v>
      </c>
      <c r="C43" s="735" t="n">
        <f aca="false">10_Distribucion_RRHH!N41-C44</f>
        <v>22.4400000000001</v>
      </c>
      <c r="D43" s="735" t="n">
        <f aca="false">(C43+C44)*13_Normas_Programacion!$C$12</f>
        <v>6605.28</v>
      </c>
      <c r="E43" s="736" t="n">
        <f aca="false">5_Produccion_Desagregada_09_10!F39</f>
        <v>708</v>
      </c>
      <c r="F43" s="737" t="n">
        <f aca="false">IF(ISERROR(E43/D43),"",E43/D43)</f>
        <v>0.107186977690575</v>
      </c>
      <c r="G43" s="735" t="str">
        <f aca="false">IF(ISERROR(15_Produc_Rendi_Hosp_10!D60/SUM(15_Produc_Rendi_Hosp_10!F53,15_Produc_Rendi_Hosp_10!F63)),"",15_Produc_Rendi_Hosp_10!D60/SUM(15_Produc_Rendi_Hosp_10!F53,15_Produc_Rendi_Hosp_10!F63))</f>
        <v/>
      </c>
      <c r="H43" s="739" t="str">
        <f aca="false">IF(ISERROR(E43/G43),"",E43/G43)</f>
        <v/>
      </c>
      <c r="I43" s="735" t="n">
        <f aca="false">D43</f>
        <v>6605.28</v>
      </c>
      <c r="J43" s="733" t="str">
        <f aca="false">IF(ISERROR(I43/H43),"",I43/H43)</f>
        <v/>
      </c>
      <c r="K43" s="739" t="str">
        <f aca="false">IF(ISERROR(I43-H43),"",I43-H43)</f>
        <v/>
      </c>
      <c r="L43" s="740" t="str">
        <f aca="false">IF(ISNUMBER(K43),K43/13_Normas_Programacion!$C$12,"")</f>
        <v/>
      </c>
    </row>
    <row collapsed="false" customFormat="false" customHeight="false" hidden="false" ht="11.6" outlineLevel="0" r="44">
      <c r="A44" s="727"/>
      <c r="B44" s="730" t="s">
        <v>771</v>
      </c>
      <c r="C44" s="735" t="n">
        <f aca="false">10_Distribucion_RRHH!I41</f>
        <v>528</v>
      </c>
      <c r="D44" s="735"/>
      <c r="E44" s="735"/>
      <c r="F44" s="737"/>
      <c r="G44" s="735"/>
      <c r="H44" s="739"/>
      <c r="I44" s="735"/>
      <c r="J44" s="733"/>
      <c r="K44" s="739"/>
      <c r="L44" s="740"/>
    </row>
    <row collapsed="false" customFormat="false" customHeight="false" hidden="false" ht="11.6" outlineLevel="0" r="45">
      <c r="A45" s="727" t="s">
        <v>776</v>
      </c>
      <c r="B45" s="742" t="str">
        <f aca="false">5_Produccion_Desagregada_09_10!C40</f>
        <v>Neonatología</v>
      </c>
      <c r="C45" s="743"/>
      <c r="D45" s="744"/>
      <c r="E45" s="744"/>
      <c r="F45" s="744"/>
      <c r="G45" s="744"/>
      <c r="H45" s="744"/>
      <c r="I45" s="744"/>
      <c r="J45" s="744"/>
      <c r="K45" s="744"/>
      <c r="L45" s="745"/>
    </row>
    <row collapsed="false" customFormat="false" customHeight="false" hidden="false" ht="11.6" outlineLevel="0" r="46">
      <c r="A46" s="727"/>
      <c r="B46" s="730" t="s">
        <v>770</v>
      </c>
      <c r="C46" s="735" t="n">
        <f aca="false">10_Distribucion_RRHH!N42-C47</f>
        <v>528</v>
      </c>
      <c r="D46" s="735" t="n">
        <f aca="false">(C46+C47)*13_Normas_Programacion!$C$12</f>
        <v>19008</v>
      </c>
      <c r="E46" s="736" t="n">
        <f aca="false">5_Produccion_Desagregada_09_10!F40</f>
        <v>711</v>
      </c>
      <c r="F46" s="737" t="n">
        <f aca="false">IF(ISERROR(E46/D46),"",E46/D46)</f>
        <v>0.037405303030303</v>
      </c>
      <c r="G46" s="735" t="str">
        <f aca="false">IF(ISERROR(15_Produc_Rendi_Hosp_10!D72/SUM(15_Produc_Rendi_Hosp_10!F65/15_Produc_Rendi_Hosp_10!F75)),"",15_Produc_Rendi_Hosp_10!D72/SUM(15_Produc_Rendi_Hosp_10!F65/15_Produc_Rendi_Hosp_10!F75))</f>
        <v/>
      </c>
      <c r="H46" s="739" t="str">
        <f aca="false">IF(ISERROR(E46/G46),"",E46/G46)</f>
        <v/>
      </c>
      <c r="I46" s="735" t="n">
        <f aca="false">D46</f>
        <v>19008</v>
      </c>
      <c r="J46" s="733" t="str">
        <f aca="false">IF(ISERROR(I46/H46),"",I46/H46)</f>
        <v/>
      </c>
      <c r="K46" s="739" t="str">
        <f aca="false">IF(ISERROR(I46-H46),"",I46-H46)</f>
        <v/>
      </c>
      <c r="L46" s="740" t="str">
        <f aca="false">IF(ISNUMBER(K46),K46/13_Normas_Programacion!$C$12,"")</f>
        <v/>
      </c>
    </row>
    <row collapsed="false" customFormat="false" customHeight="false" hidden="false" ht="11.6" outlineLevel="0" r="47">
      <c r="A47" s="727"/>
      <c r="B47" s="730" t="s">
        <v>771</v>
      </c>
      <c r="C47" s="735" t="n">
        <f aca="false">10_Distribucion_RRHH!I42</f>
        <v>1056</v>
      </c>
      <c r="D47" s="735"/>
      <c r="E47" s="735"/>
      <c r="F47" s="737"/>
      <c r="G47" s="735"/>
      <c r="H47" s="739"/>
      <c r="I47" s="735"/>
      <c r="J47" s="733"/>
      <c r="K47" s="739"/>
      <c r="L47" s="740"/>
    </row>
    <row collapsed="false" customFormat="false" customHeight="false" hidden="false" ht="11.6" outlineLevel="0" r="48">
      <c r="A48" s="727" t="s">
        <v>777</v>
      </c>
      <c r="B48" s="742" t="str">
        <f aca="false">5_Produccion_Desagregada_09_10!C42</f>
        <v>Cirugía General</v>
      </c>
      <c r="C48" s="743"/>
      <c r="D48" s="744"/>
      <c r="E48" s="744"/>
      <c r="F48" s="744"/>
      <c r="G48" s="744"/>
      <c r="H48" s="744"/>
      <c r="I48" s="744"/>
      <c r="J48" s="744"/>
      <c r="K48" s="744"/>
      <c r="L48" s="745"/>
    </row>
    <row collapsed="false" customFormat="false" customHeight="false" hidden="false" ht="11.6" outlineLevel="0" r="49">
      <c r="A49" s="727"/>
      <c r="B49" s="730" t="s">
        <v>770</v>
      </c>
      <c r="C49" s="735" t="n">
        <f aca="false">10_Distribucion_RRHH!N44-C50</f>
        <v>271.7</v>
      </c>
      <c r="D49" s="735" t="n">
        <f aca="false">(C49+C50)*13_Normas_Programacion!$C$12</f>
        <v>5372.4</v>
      </c>
      <c r="E49" s="736" t="n">
        <f aca="false">5_Produccion_Desagregada_09_10!F41</f>
        <v>7266</v>
      </c>
      <c r="F49" s="737" t="n">
        <f aca="false">IF(ISERROR(E49/D49),"",E49/D49)</f>
        <v>1.35246817064999</v>
      </c>
      <c r="G49" s="735" t="str">
        <f aca="false">IF(ISERROR(15_Produc_Rendi_Hosp_10!D84/SUM(15_Produc_Rendi_Hosp_10!F77,15_Produc_Rendi_Hosp_10!F87)),"",15_Produc_Rendi_Hosp_10!D84/SUM(15_Produc_Rendi_Hosp_10!F77,15_Produc_Rendi_Hosp_10!F87))</f>
        <v/>
      </c>
      <c r="H49" s="739" t="str">
        <f aca="false">IF(ISERROR(E49/G49),"",E49/G49)</f>
        <v/>
      </c>
      <c r="I49" s="735" t="n">
        <f aca="false">D49</f>
        <v>5372.4</v>
      </c>
      <c r="J49" s="733" t="str">
        <f aca="false">IF(ISERROR(I49/H49),"",I49/H49)</f>
        <v/>
      </c>
      <c r="K49" s="739" t="str">
        <f aca="false">IF(ISERROR(I49-H49),"",I49-H49)</f>
        <v/>
      </c>
      <c r="L49" s="740" t="str">
        <f aca="false">IF(ISNUMBER(K49),K49/13_Normas_Programacion!$C$12,"")</f>
        <v/>
      </c>
    </row>
    <row collapsed="false" customFormat="false" customHeight="false" hidden="false" ht="11.6" outlineLevel="0" r="50">
      <c r="A50" s="727"/>
      <c r="B50" s="730" t="s">
        <v>771</v>
      </c>
      <c r="C50" s="735" t="n">
        <f aca="false">10_Distribucion_RRHH!I44</f>
        <v>176</v>
      </c>
      <c r="D50" s="735"/>
      <c r="E50" s="735"/>
      <c r="F50" s="737"/>
      <c r="G50" s="735"/>
      <c r="H50" s="739"/>
      <c r="I50" s="735"/>
      <c r="J50" s="733"/>
      <c r="K50" s="739"/>
      <c r="L50" s="740"/>
    </row>
    <row collapsed="false" customFormat="false" customHeight="false" hidden="false" ht="11.6" outlineLevel="0" r="51">
      <c r="A51" s="727" t="s">
        <v>778</v>
      </c>
      <c r="B51" s="742" t="str">
        <f aca="false">5_Produccion_Desagregada_09_10!C43</f>
        <v>Cirugía Plastica</v>
      </c>
      <c r="C51" s="743"/>
      <c r="D51" s="744"/>
      <c r="E51" s="744"/>
      <c r="F51" s="744"/>
      <c r="G51" s="744"/>
      <c r="H51" s="744"/>
      <c r="I51" s="744"/>
      <c r="J51" s="744"/>
      <c r="K51" s="744"/>
      <c r="L51" s="745"/>
    </row>
    <row collapsed="false" customFormat="false" customHeight="false" hidden="false" ht="11.6" outlineLevel="0" r="52">
      <c r="A52" s="727"/>
      <c r="B52" s="730" t="s">
        <v>770</v>
      </c>
      <c r="C52" s="735" t="n">
        <f aca="false">10_Distribucion_RRHH!N45-C53</f>
        <v>7.25999999999999</v>
      </c>
      <c r="D52" s="735" t="n">
        <f aca="false">(C52+C53)*13_Normas_Programacion!$C$12</f>
        <v>2199.12</v>
      </c>
      <c r="E52" s="736" t="n">
        <f aca="false">5_Produccion_Desagregada_09_10!F42</f>
        <v>2410</v>
      </c>
      <c r="F52" s="737" t="n">
        <f aca="false">IF(ISERROR(E52/D52),"",E52/D52)</f>
        <v>1.09589290261559</v>
      </c>
      <c r="G52" s="735" t="str">
        <f aca="false">IF(ISERROR(15_Produc_Rendi_Hosp_10!D96/SUM(15_Produc_Rendi_Hosp_10!F89,15_Produc_Rendi_Hosp_10!F99)),"",15_Produc_Rendi_Hosp_10!D96/SUM(15_Produc_Rendi_Hosp_10!F89,15_Produc_Rendi_Hosp_10!F99))</f>
        <v/>
      </c>
      <c r="H52" s="739" t="str">
        <f aca="false">IF(ISERROR(E52/G52),"",E52/G52)</f>
        <v/>
      </c>
      <c r="I52" s="735" t="n">
        <f aca="false">D52</f>
        <v>2199.12</v>
      </c>
      <c r="J52" s="733" t="str">
        <f aca="false">IF(ISERROR(I52/H52),"",I52/H52)</f>
        <v/>
      </c>
      <c r="K52" s="739" t="str">
        <f aca="false">IF(ISERROR(I52-H52),"",I52-H52)</f>
        <v/>
      </c>
      <c r="L52" s="740" t="str">
        <f aca="false">IF(ISNUMBER(K52),K52/13_Normas_Programacion!$C$12,"")</f>
        <v/>
      </c>
    </row>
    <row collapsed="false" customFormat="false" customHeight="false" hidden="false" ht="11.6" outlineLevel="0" r="53">
      <c r="A53" s="727"/>
      <c r="B53" s="730" t="s">
        <v>771</v>
      </c>
      <c r="C53" s="735" t="n">
        <f aca="false">10_Distribucion_RRHH!I45</f>
        <v>176</v>
      </c>
      <c r="D53" s="735"/>
      <c r="E53" s="735"/>
      <c r="F53" s="737"/>
      <c r="G53" s="735"/>
      <c r="H53" s="739"/>
      <c r="I53" s="735"/>
      <c r="J53" s="733"/>
      <c r="K53" s="739"/>
      <c r="L53" s="740"/>
    </row>
    <row collapsed="false" customFormat="false" customHeight="false" hidden="false" ht="11.6" outlineLevel="0" r="54">
      <c r="A54" s="727" t="s">
        <v>779</v>
      </c>
      <c r="B54" s="742" t="str">
        <f aca="false">5_Produccion_Desagregada_09_10!C44</f>
        <v>Neurocirugía</v>
      </c>
      <c r="C54" s="743"/>
      <c r="D54" s="744"/>
      <c r="E54" s="744"/>
      <c r="F54" s="744"/>
      <c r="G54" s="744"/>
      <c r="H54" s="744"/>
      <c r="I54" s="744"/>
      <c r="J54" s="744"/>
      <c r="K54" s="744"/>
      <c r="L54" s="745"/>
    </row>
    <row collapsed="false" customFormat="false" customHeight="false" hidden="false" ht="11.6" outlineLevel="0" r="55">
      <c r="A55" s="727"/>
      <c r="B55" s="730" t="s">
        <v>770</v>
      </c>
      <c r="C55" s="735" t="n">
        <f aca="false">10_Distribucion_RRHH!N46-C56</f>
        <v>45.76</v>
      </c>
      <c r="D55" s="735" t="n">
        <f aca="false">(C55+C56)*13_Normas_Programacion!$C$12</f>
        <v>2661.12</v>
      </c>
      <c r="E55" s="736" t="n">
        <f aca="false">5_Produccion_Desagregada_09_10!F43</f>
        <v>962</v>
      </c>
      <c r="F55" s="737" t="n">
        <f aca="false">IF(ISERROR(E55/D55),"",E55/D55)</f>
        <v>0.361501924001924</v>
      </c>
      <c r="G55" s="735" t="str">
        <f aca="false">IF(ISERROR(15_Produc_Rendi_Hosp_10!D108/SUM(15_Produc_Rendi_Hosp_10!F101,15_Produc_Rendi_Hosp_10!F111)),"",15_Produc_Rendi_Hosp_10!D108/SUM(15_Produc_Rendi_Hosp_10!F101,15_Produc_Rendi_Hosp_10!F111))</f>
        <v/>
      </c>
      <c r="H55" s="739" t="str">
        <f aca="false">IF(ISERROR(E55/G55),"",E55/G55)</f>
        <v/>
      </c>
      <c r="I55" s="735" t="n">
        <f aca="false">D55</f>
        <v>2661.12</v>
      </c>
      <c r="J55" s="733" t="str">
        <f aca="false">IF(ISERROR(I55/H55),"",I55/H55)</f>
        <v/>
      </c>
      <c r="K55" s="739" t="str">
        <f aca="false">IF(ISERROR(I55-H55),"",I55-H55)</f>
        <v/>
      </c>
      <c r="L55" s="740" t="str">
        <f aca="false">IF(ISNUMBER(K55),K55/13_Normas_Programacion!$C$12,"")</f>
        <v/>
      </c>
    </row>
    <row collapsed="false" customFormat="false" customHeight="false" hidden="false" ht="11.6" outlineLevel="0" r="56">
      <c r="A56" s="727"/>
      <c r="B56" s="730" t="s">
        <v>771</v>
      </c>
      <c r="C56" s="735" t="n">
        <f aca="false">10_Distribucion_RRHH!I46</f>
        <v>176</v>
      </c>
      <c r="D56" s="735"/>
      <c r="E56" s="735"/>
      <c r="F56" s="737"/>
      <c r="G56" s="735"/>
      <c r="H56" s="739"/>
      <c r="I56" s="735"/>
      <c r="J56" s="733"/>
      <c r="K56" s="739"/>
      <c r="L56" s="740"/>
    </row>
    <row collapsed="false" customFormat="false" customHeight="false" hidden="false" ht="11.6" outlineLevel="0" r="57">
      <c r="A57" s="727" t="s">
        <v>780</v>
      </c>
      <c r="B57" s="742" t="str">
        <f aca="false">5_Produccion_Desagregada_09_10!C45</f>
        <v>Oftalmología</v>
      </c>
      <c r="C57" s="743"/>
      <c r="D57" s="744"/>
      <c r="E57" s="744"/>
      <c r="F57" s="744"/>
      <c r="G57" s="744"/>
      <c r="H57" s="744"/>
      <c r="I57" s="744"/>
      <c r="J57" s="744"/>
      <c r="K57" s="744"/>
      <c r="L57" s="745"/>
    </row>
    <row collapsed="false" customFormat="false" customHeight="false" hidden="false" ht="11.6" outlineLevel="0" r="58">
      <c r="A58" s="727"/>
      <c r="B58" s="730" t="s">
        <v>770</v>
      </c>
      <c r="C58" s="735" t="n">
        <f aca="false">10_Distribucion_RRHH!N47-C59</f>
        <v>81.4</v>
      </c>
      <c r="D58" s="735" t="n">
        <f aca="false">(C58+C59)*13_Normas_Programacion!$C$12</f>
        <v>2032.8</v>
      </c>
      <c r="E58" s="736" t="n">
        <f aca="false">5_Produccion_Desagregada_09_10!F44</f>
        <v>1152</v>
      </c>
      <c r="F58" s="737" t="n">
        <f aca="false">IF(ISERROR(E58/D58),"",E58/D58)</f>
        <v>0.566706021251476</v>
      </c>
      <c r="G58" s="735" t="str">
        <f aca="false">IF(ISERROR(15_Produc_Rendi_Hosp_10!D120/SUM(15_Produc_Rendi_Hosp_10!F113,15_Produc_Rendi_Hosp_10!F123)),"",15_Produc_Rendi_Hosp_10!D120/SUM(15_Produc_Rendi_Hosp_10!F113,15_Produc_Rendi_Hosp_10!F123))</f>
        <v/>
      </c>
      <c r="H58" s="739" t="str">
        <f aca="false">IF(ISERROR(E58/G58),"",E58/G58)</f>
        <v/>
      </c>
      <c r="I58" s="735" t="n">
        <f aca="false">D58</f>
        <v>2032.8</v>
      </c>
      <c r="J58" s="733" t="str">
        <f aca="false">IF(ISERROR(I58/H58),"",I58/H58)</f>
        <v/>
      </c>
      <c r="K58" s="739" t="str">
        <f aca="false">IF(ISERROR(I58-H58),"",I58-H58)</f>
        <v/>
      </c>
      <c r="L58" s="740" t="str">
        <f aca="false">IF(ISNUMBER(K58),K58/13_Normas_Programacion!$C$12,"")</f>
        <v/>
      </c>
    </row>
    <row collapsed="false" customFormat="false" customHeight="false" hidden="false" ht="11.6" outlineLevel="0" r="59">
      <c r="A59" s="727"/>
      <c r="B59" s="730" t="s">
        <v>771</v>
      </c>
      <c r="C59" s="735" t="n">
        <f aca="false">10_Distribucion_RRHH!I47</f>
        <v>88</v>
      </c>
      <c r="D59" s="735"/>
      <c r="E59" s="735"/>
      <c r="F59" s="737"/>
      <c r="G59" s="735"/>
      <c r="H59" s="739"/>
      <c r="I59" s="735"/>
      <c r="J59" s="733"/>
      <c r="K59" s="739"/>
      <c r="L59" s="740"/>
    </row>
    <row collapsed="false" customFormat="false" customHeight="false" hidden="false" ht="11.6" outlineLevel="0" r="60">
      <c r="A60" s="727" t="s">
        <v>781</v>
      </c>
      <c r="B60" s="742" t="str">
        <f aca="false">5_Produccion_Desagregada_09_10!C46</f>
        <v>Otorrinolaringología</v>
      </c>
      <c r="C60" s="743"/>
      <c r="D60" s="744"/>
      <c r="E60" s="744"/>
      <c r="F60" s="744"/>
      <c r="G60" s="744"/>
      <c r="H60" s="744"/>
      <c r="I60" s="744"/>
      <c r="J60" s="744"/>
      <c r="K60" s="744"/>
      <c r="L60" s="745"/>
    </row>
    <row collapsed="false" customFormat="false" customHeight="false" hidden="false" ht="11.6" outlineLevel="0" r="61">
      <c r="A61" s="727"/>
      <c r="B61" s="730" t="s">
        <v>770</v>
      </c>
      <c r="C61" s="735" t="n">
        <f aca="false">10_Distribucion_RRHH!N48-C62</f>
        <v>70.4</v>
      </c>
      <c r="D61" s="735" t="n">
        <f aca="false">(C61+C62)*13_Normas_Programacion!$C$12</f>
        <v>1900.8</v>
      </c>
      <c r="E61" s="736" t="n">
        <f aca="false">5_Produccion_Desagregada_09_10!F45</f>
        <v>905</v>
      </c>
      <c r="F61" s="737" t="n">
        <f aca="false">IF(ISERROR(E61/D61),"",E61/D61)</f>
        <v>0.47611531986532</v>
      </c>
      <c r="G61" s="735" t="str">
        <f aca="false">IF(ISERROR(15_Produc_Rendi_Hosp_10!D132/SUM(15_Produc_Rendi_Hosp_10!F125,15_Produc_Rendi_Hosp_10!F135)),"",15_Produc_Rendi_Hosp_10!D132/SUM(15_Produc_Rendi_Hosp_10!F125,15_Produc_Rendi_Hosp_10!F135))</f>
        <v/>
      </c>
      <c r="H61" s="739" t="str">
        <f aca="false">IF(ISERROR(E61/G61),"",E61/G61)</f>
        <v/>
      </c>
      <c r="I61" s="735" t="n">
        <f aca="false">D61</f>
        <v>1900.8</v>
      </c>
      <c r="J61" s="733" t="str">
        <f aca="false">IF(ISERROR(I61/H61),"",I61/H61)</f>
        <v/>
      </c>
      <c r="K61" s="739" t="str">
        <f aca="false">IF(ISERROR(I61-H61),"",I61-H61)</f>
        <v/>
      </c>
      <c r="L61" s="740" t="str">
        <f aca="false">IF(ISNUMBER(K61),K61/13_Normas_Programacion!$C$12,"")</f>
        <v/>
      </c>
    </row>
    <row collapsed="false" customFormat="false" customHeight="false" hidden="false" ht="11.6" outlineLevel="0" r="62">
      <c r="A62" s="727"/>
      <c r="B62" s="730" t="s">
        <v>771</v>
      </c>
      <c r="C62" s="735" t="n">
        <f aca="false">10_Distribucion_RRHH!I48</f>
        <v>88</v>
      </c>
      <c r="D62" s="735"/>
      <c r="E62" s="735"/>
      <c r="F62" s="737"/>
      <c r="G62" s="735"/>
      <c r="H62" s="739"/>
      <c r="I62" s="735"/>
      <c r="J62" s="733"/>
      <c r="K62" s="739"/>
      <c r="L62" s="740"/>
    </row>
    <row collapsed="false" customFormat="false" customHeight="false" hidden="false" ht="11.6" outlineLevel="0" r="63">
      <c r="A63" s="727" t="s">
        <v>782</v>
      </c>
      <c r="B63" s="742" t="str">
        <f aca="false">5_Produccion_Desagregada_09_10!C47</f>
        <v>Ortopedia</v>
      </c>
      <c r="C63" s="743"/>
      <c r="D63" s="744"/>
      <c r="E63" s="744"/>
      <c r="F63" s="744"/>
      <c r="G63" s="744"/>
      <c r="H63" s="744"/>
      <c r="I63" s="744"/>
      <c r="J63" s="744"/>
      <c r="K63" s="744"/>
      <c r="L63" s="745"/>
    </row>
    <row collapsed="false" customFormat="false" customHeight="false" hidden="false" ht="11.6" outlineLevel="0" r="64">
      <c r="A64" s="727"/>
      <c r="B64" s="730" t="s">
        <v>770</v>
      </c>
      <c r="C64" s="735" t="n">
        <f aca="false">10_Distribucion_RRHH!N49-C65</f>
        <v>45.54</v>
      </c>
      <c r="D64" s="735" t="n">
        <f aca="false">(C64+C65)*13_Normas_Programacion!$C$12</f>
        <v>2658.48</v>
      </c>
      <c r="E64" s="736" t="n">
        <f aca="false">5_Produccion_Desagregada_09_10!F46</f>
        <v>1131</v>
      </c>
      <c r="F64" s="737" t="n">
        <f aca="false">IF(ISERROR(E64/D64),"",E64/D64)</f>
        <v>0.425431073395324</v>
      </c>
      <c r="G64" s="735" t="str">
        <f aca="false">IF(ISERROR(15_Produc_Rendi_Hosp_10!D144/SUM(15_Produc_Rendi_Hosp_10!F137,15_Produc_Rendi_Hosp_10!F147)),"",15_Produc_Rendi_Hosp_10!D144/SUM(15_Produc_Rendi_Hosp_10!F137,15_Produc_Rendi_Hosp_10!F147))</f>
        <v/>
      </c>
      <c r="H64" s="739" t="str">
        <f aca="false">IF(ISERROR(E64/G64),"",E64/G64)</f>
        <v/>
      </c>
      <c r="I64" s="735" t="n">
        <f aca="false">D64</f>
        <v>2658.48</v>
      </c>
      <c r="J64" s="733" t="str">
        <f aca="false">IF(ISERROR(I64/H64),"",I64/H64)</f>
        <v/>
      </c>
      <c r="K64" s="739" t="str">
        <f aca="false">IF(ISERROR(I64-H64),"",I64-H64)</f>
        <v/>
      </c>
      <c r="L64" s="740" t="str">
        <f aca="false">IF(ISNUMBER(K64),K64/13_Normas_Programacion!$C$12,"")</f>
        <v/>
      </c>
    </row>
    <row collapsed="false" customFormat="false" customHeight="false" hidden="false" ht="11.6" outlineLevel="0" r="65">
      <c r="A65" s="727"/>
      <c r="B65" s="730" t="s">
        <v>771</v>
      </c>
      <c r="C65" s="735" t="n">
        <f aca="false">10_Distribucion_RRHH!I49</f>
        <v>176</v>
      </c>
      <c r="D65" s="735"/>
      <c r="E65" s="735"/>
      <c r="F65" s="737"/>
      <c r="G65" s="735"/>
      <c r="H65" s="739"/>
      <c r="I65" s="735"/>
      <c r="J65" s="733"/>
      <c r="K65" s="739"/>
      <c r="L65" s="740"/>
    </row>
    <row collapsed="false" customFormat="false" customHeight="false" hidden="false" ht="11.6" outlineLevel="0" r="66">
      <c r="A66" s="727" t="s">
        <v>783</v>
      </c>
      <c r="B66" s="742" t="str">
        <f aca="false">5_Produccion_Desagregada_09_10!C48</f>
        <v>Otros Servicios (Convenios / BM / ISSS)</v>
      </c>
      <c r="C66" s="743"/>
      <c r="D66" s="744"/>
      <c r="E66" s="744"/>
      <c r="F66" s="744"/>
      <c r="G66" s="744"/>
      <c r="H66" s="744"/>
      <c r="I66" s="744"/>
      <c r="J66" s="744"/>
      <c r="K66" s="744"/>
      <c r="L66" s="745"/>
    </row>
    <row collapsed="false" customFormat="false" customHeight="false" hidden="false" ht="11.6" outlineLevel="0" r="67">
      <c r="A67" s="727"/>
      <c r="B67" s="730" t="s">
        <v>784</v>
      </c>
      <c r="C67" s="746" t="n">
        <f aca="false">10_Distribucion_RRHH!C50</f>
        <v>0</v>
      </c>
      <c r="D67" s="735" t="n">
        <f aca="false">SUM(C67:C69)*13_Normas_Programacion!$C$12</f>
        <v>0</v>
      </c>
      <c r="E67" s="736" t="n">
        <f aca="false">5_Produccion_Desagregada_09_10!F48</f>
        <v>1073</v>
      </c>
      <c r="F67" s="737" t="str">
        <f aca="false">IF(ISERROR(E67/D67),"",E67/D67)</f>
        <v/>
      </c>
      <c r="G67" s="731" t="str">
        <f aca="false">IF(ISERROR(15_Produc_Rendi_Hosp_10!D156/SUM(15_Produc_Rendi_Hosp_10!F149,15_Produc_Rendi_Hosp_10!F159)),"",15_Produc_Rendi_Hosp_10!D156/SUM(15_Produc_Rendi_Hosp_10!F149,15_Produc_Rendi_Hosp_10!F159))</f>
        <v/>
      </c>
      <c r="H67" s="739" t="str">
        <f aca="false">IF(ISERROR(E67/G67),"",E67/G67)</f>
        <v/>
      </c>
      <c r="I67" s="735" t="n">
        <f aca="false">D67</f>
        <v>0</v>
      </c>
      <c r="J67" s="733" t="str">
        <f aca="false">IF(ISERROR(I67/H67),"",I67/H67)</f>
        <v/>
      </c>
      <c r="K67" s="739" t="str">
        <f aca="false">IF(ISERROR(I67-H67),"",I67-H67)</f>
        <v/>
      </c>
      <c r="L67" s="740" t="str">
        <f aca="false">IF(ISNUMBER(K67),K67/13_Normas_Programacion!$C$12,"")</f>
        <v/>
      </c>
    </row>
    <row collapsed="false" customFormat="false" customHeight="false" hidden="false" ht="11.6" outlineLevel="0" r="68">
      <c r="A68" s="727"/>
      <c r="B68" s="730" t="s">
        <v>770</v>
      </c>
      <c r="C68" s="735" t="n">
        <f aca="false">10_Distribucion_RRHH!N50-SUM(C67,C69)</f>
        <v>0</v>
      </c>
      <c r="D68" s="735"/>
      <c r="E68" s="736"/>
      <c r="F68" s="737"/>
      <c r="G68" s="731"/>
      <c r="H68" s="739"/>
      <c r="I68" s="735"/>
      <c r="J68" s="733"/>
      <c r="K68" s="739"/>
      <c r="L68" s="740"/>
    </row>
    <row collapsed="false" customFormat="false" customHeight="false" hidden="false" ht="11.6" outlineLevel="0" r="69">
      <c r="A69" s="727"/>
      <c r="B69" s="730" t="s">
        <v>771</v>
      </c>
      <c r="C69" s="746" t="str">
        <f aca="false">10_Distribucion_RRHH!I50</f>
        <v>N/A</v>
      </c>
      <c r="D69" s="735"/>
      <c r="E69" s="736"/>
      <c r="F69" s="737"/>
      <c r="G69" s="731"/>
      <c r="H69" s="739"/>
      <c r="I69" s="735"/>
      <c r="J69" s="733"/>
      <c r="K69" s="739"/>
      <c r="L69" s="740"/>
    </row>
    <row collapsed="false" customFormat="false" customHeight="false" hidden="false" ht="12.8" outlineLevel="0" r="70">
      <c r="A70" s="727" t="n">
        <v>2.2</v>
      </c>
      <c r="B70" s="728" t="s">
        <v>785</v>
      </c>
      <c r="C70" s="116"/>
      <c r="D70" s="116"/>
      <c r="E70" s="116"/>
      <c r="F70" s="116"/>
      <c r="G70" s="116"/>
      <c r="H70" s="116"/>
      <c r="I70" s="116"/>
      <c r="J70" s="116"/>
      <c r="K70" s="116"/>
      <c r="L70" s="729"/>
    </row>
    <row collapsed="false" customFormat="false" customHeight="false" hidden="false" ht="11.9" outlineLevel="0" r="71">
      <c r="A71" s="727"/>
      <c r="B71" s="730" t="s">
        <v>784</v>
      </c>
      <c r="C71" s="747" t="n">
        <f aca="false">10_Distribucion_RRHH!C51</f>
        <v>0</v>
      </c>
      <c r="D71" s="748" t="n">
        <f aca="false">SUM(C71:C73)*13_Normas_Programacion!$C$12</f>
        <v>42828.72</v>
      </c>
      <c r="E71" s="749" t="n">
        <f aca="false">5_Produccion_Desagregada_09_10!F49</f>
        <v>10238</v>
      </c>
      <c r="F71" s="750" t="n">
        <f aca="false">IF(ISERROR(E71/D71),"",E71/D71)</f>
        <v>0.239045201444264</v>
      </c>
      <c r="G71" s="751" t="str">
        <f aca="false">IF(ISERROR(14_Produc_Rend_Cons_Cgia_10!F23),"",14_Produc_Rend_Cons_Cgia_10!F23)</f>
        <v/>
      </c>
      <c r="H71" s="752" t="str">
        <f aca="false">IF(ISERROR(E71/G71),"",E71/G71)</f>
        <v/>
      </c>
      <c r="I71" s="748" t="n">
        <f aca="false">D71</f>
        <v>42828.72</v>
      </c>
      <c r="J71" s="753" t="str">
        <f aca="false">IF(ISERROR(I71/H71),"",I71/H71)</f>
        <v/>
      </c>
      <c r="K71" s="752" t="str">
        <f aca="false">IF(ISERROR(I71-H71),"",I71-H71)</f>
        <v/>
      </c>
      <c r="L71" s="754" t="str">
        <f aca="false">IF(ISNUMBER(K71),K71/13_Normas_Programacion!$C$12,"")</f>
        <v/>
      </c>
    </row>
    <row collapsed="false" customFormat="false" customHeight="false" hidden="false" ht="11.9" outlineLevel="0" r="72">
      <c r="A72" s="727"/>
      <c r="B72" s="730" t="s">
        <v>770</v>
      </c>
      <c r="C72" s="747" t="n">
        <f aca="false">10_Distribucion_RRHH!N51-SUM(C71,C73)</f>
        <v>3569.06</v>
      </c>
      <c r="D72" s="748"/>
      <c r="E72" s="749"/>
      <c r="F72" s="750"/>
      <c r="G72" s="751"/>
      <c r="H72" s="752"/>
      <c r="I72" s="748"/>
      <c r="J72" s="753"/>
      <c r="K72" s="752"/>
      <c r="L72" s="754"/>
    </row>
    <row collapsed="false" customFormat="false" customHeight="false" hidden="false" ht="11.9" outlineLevel="0" r="73">
      <c r="A73" s="727"/>
      <c r="B73" s="755" t="s">
        <v>771</v>
      </c>
      <c r="C73" s="756" t="str">
        <f aca="false">10_Distribucion_RRHH!I51</f>
        <v>N/A</v>
      </c>
      <c r="D73" s="748"/>
      <c r="E73" s="749"/>
      <c r="F73" s="750"/>
      <c r="G73" s="751"/>
      <c r="H73" s="752"/>
      <c r="I73" s="748"/>
      <c r="J73" s="753"/>
      <c r="K73" s="752"/>
      <c r="L73" s="754"/>
    </row>
  </sheetData>
  <mergeCells count="180">
    <mergeCell ref="B1:L1"/>
    <mergeCell ref="B3:B4"/>
    <mergeCell ref="C3:C4"/>
    <mergeCell ref="D3:D4"/>
    <mergeCell ref="E3:E4"/>
    <mergeCell ref="F3:F4"/>
    <mergeCell ref="G3:G4"/>
    <mergeCell ref="H3:J3"/>
    <mergeCell ref="K3:L3"/>
    <mergeCell ref="D9:D10"/>
    <mergeCell ref="E9:E10"/>
    <mergeCell ref="F9:F10"/>
    <mergeCell ref="G9:G10"/>
    <mergeCell ref="H9:H10"/>
    <mergeCell ref="I9:I10"/>
    <mergeCell ref="J9:J10"/>
    <mergeCell ref="K9:K10"/>
    <mergeCell ref="L9:L10"/>
    <mergeCell ref="D12:D13"/>
    <mergeCell ref="E12:E13"/>
    <mergeCell ref="F12:F13"/>
    <mergeCell ref="G12:G13"/>
    <mergeCell ref="H12:H13"/>
    <mergeCell ref="I12:I13"/>
    <mergeCell ref="J12:J13"/>
    <mergeCell ref="K12:K13"/>
    <mergeCell ref="L12:L13"/>
    <mergeCell ref="D15:D17"/>
    <mergeCell ref="E15:E17"/>
    <mergeCell ref="F15:F17"/>
    <mergeCell ref="G15:G17"/>
    <mergeCell ref="H15:H17"/>
    <mergeCell ref="I15:I17"/>
    <mergeCell ref="J15:J17"/>
    <mergeCell ref="K15:K17"/>
    <mergeCell ref="L15:L17"/>
    <mergeCell ref="D21:D23"/>
    <mergeCell ref="E21:E23"/>
    <mergeCell ref="F21:F23"/>
    <mergeCell ref="G21:G23"/>
    <mergeCell ref="H21:H23"/>
    <mergeCell ref="I21:I23"/>
    <mergeCell ref="J21:J23"/>
    <mergeCell ref="K21:K23"/>
    <mergeCell ref="L21:L23"/>
    <mergeCell ref="D25:D27"/>
    <mergeCell ref="E25:E27"/>
    <mergeCell ref="F25:F27"/>
    <mergeCell ref="G25:G27"/>
    <mergeCell ref="H25:H27"/>
    <mergeCell ref="I25:I27"/>
    <mergeCell ref="J25:J27"/>
    <mergeCell ref="K25:K27"/>
    <mergeCell ref="L25:L27"/>
    <mergeCell ref="D31:D32"/>
    <mergeCell ref="E31:E32"/>
    <mergeCell ref="F31:F32"/>
    <mergeCell ref="G31:G32"/>
    <mergeCell ref="H31:H32"/>
    <mergeCell ref="I31:I32"/>
    <mergeCell ref="J31:J32"/>
    <mergeCell ref="K31:K32"/>
    <mergeCell ref="L31:L32"/>
    <mergeCell ref="D34:D35"/>
    <mergeCell ref="E34:E35"/>
    <mergeCell ref="F34:F35"/>
    <mergeCell ref="G34:G35"/>
    <mergeCell ref="H34:H35"/>
    <mergeCell ref="I34:I35"/>
    <mergeCell ref="J34:J35"/>
    <mergeCell ref="K34:K35"/>
    <mergeCell ref="L34:L35"/>
    <mergeCell ref="D37:D38"/>
    <mergeCell ref="E37:E38"/>
    <mergeCell ref="F37:F38"/>
    <mergeCell ref="G37:G38"/>
    <mergeCell ref="H37:H38"/>
    <mergeCell ref="I37:I38"/>
    <mergeCell ref="J37:J38"/>
    <mergeCell ref="K37:K38"/>
    <mergeCell ref="L37:L38"/>
    <mergeCell ref="D40:D41"/>
    <mergeCell ref="E40:E41"/>
    <mergeCell ref="F40:F41"/>
    <mergeCell ref="G40:G41"/>
    <mergeCell ref="H40:H41"/>
    <mergeCell ref="I40:I41"/>
    <mergeCell ref="J40:J41"/>
    <mergeCell ref="K40:K41"/>
    <mergeCell ref="L40:L41"/>
    <mergeCell ref="D43:D44"/>
    <mergeCell ref="E43:E44"/>
    <mergeCell ref="F43:F44"/>
    <mergeCell ref="G43:G44"/>
    <mergeCell ref="H43:H44"/>
    <mergeCell ref="I43:I44"/>
    <mergeCell ref="J43:J44"/>
    <mergeCell ref="K43:K44"/>
    <mergeCell ref="L43:L44"/>
    <mergeCell ref="D46:D47"/>
    <mergeCell ref="E46:E47"/>
    <mergeCell ref="F46:F47"/>
    <mergeCell ref="G46:G47"/>
    <mergeCell ref="H46:H47"/>
    <mergeCell ref="I46:I47"/>
    <mergeCell ref="J46:J47"/>
    <mergeCell ref="K46:K47"/>
    <mergeCell ref="L46:L47"/>
    <mergeCell ref="D49:D50"/>
    <mergeCell ref="E49:E50"/>
    <mergeCell ref="F49:F50"/>
    <mergeCell ref="G49:G50"/>
    <mergeCell ref="H49:H50"/>
    <mergeCell ref="I49:I50"/>
    <mergeCell ref="J49:J50"/>
    <mergeCell ref="K49:K50"/>
    <mergeCell ref="L49:L50"/>
    <mergeCell ref="D52:D53"/>
    <mergeCell ref="E52:E53"/>
    <mergeCell ref="F52:F53"/>
    <mergeCell ref="G52:G53"/>
    <mergeCell ref="H52:H53"/>
    <mergeCell ref="I52:I53"/>
    <mergeCell ref="J52:J53"/>
    <mergeCell ref="K52:K53"/>
    <mergeCell ref="L52:L53"/>
    <mergeCell ref="D55:D56"/>
    <mergeCell ref="E55:E56"/>
    <mergeCell ref="F55:F56"/>
    <mergeCell ref="G55:G56"/>
    <mergeCell ref="H55:H56"/>
    <mergeCell ref="I55:I56"/>
    <mergeCell ref="J55:J56"/>
    <mergeCell ref="K55:K56"/>
    <mergeCell ref="L55:L56"/>
    <mergeCell ref="D58:D59"/>
    <mergeCell ref="E58:E59"/>
    <mergeCell ref="F58:F59"/>
    <mergeCell ref="G58:G59"/>
    <mergeCell ref="H58:H59"/>
    <mergeCell ref="I58:I59"/>
    <mergeCell ref="J58:J59"/>
    <mergeCell ref="K58:K59"/>
    <mergeCell ref="L58:L59"/>
    <mergeCell ref="D61:D62"/>
    <mergeCell ref="E61:E62"/>
    <mergeCell ref="F61:F62"/>
    <mergeCell ref="G61:G62"/>
    <mergeCell ref="H61:H62"/>
    <mergeCell ref="I61:I62"/>
    <mergeCell ref="J61:J62"/>
    <mergeCell ref="K61:K62"/>
    <mergeCell ref="L61:L62"/>
    <mergeCell ref="D64:D65"/>
    <mergeCell ref="E64:E65"/>
    <mergeCell ref="F64:F65"/>
    <mergeCell ref="G64:G65"/>
    <mergeCell ref="H64:H65"/>
    <mergeCell ref="I64:I65"/>
    <mergeCell ref="J64:J65"/>
    <mergeCell ref="K64:K65"/>
    <mergeCell ref="L64:L65"/>
    <mergeCell ref="D67:D69"/>
    <mergeCell ref="E67:E69"/>
    <mergeCell ref="F67:F69"/>
    <mergeCell ref="G67:G69"/>
    <mergeCell ref="H67:H69"/>
    <mergeCell ref="I67:I69"/>
    <mergeCell ref="J67:J69"/>
    <mergeCell ref="K67:K69"/>
    <mergeCell ref="L67:L69"/>
    <mergeCell ref="D71:D73"/>
    <mergeCell ref="E71:E73"/>
    <mergeCell ref="F71:F73"/>
    <mergeCell ref="G71:G73"/>
    <mergeCell ref="H71:H73"/>
    <mergeCell ref="I71:I73"/>
    <mergeCell ref="J71:J73"/>
    <mergeCell ref="K71:K73"/>
    <mergeCell ref="L71:L73"/>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21.xml><?xml version="1.0" encoding="utf-8"?>
<worksheet xmlns="http://schemas.openxmlformats.org/spreadsheetml/2006/main" xmlns:r="http://schemas.openxmlformats.org/officeDocument/2006/relationships">
  <sheetPr filterMode="false">
    <pageSetUpPr fitToPage="false"/>
  </sheetPr>
  <dimension ref="B1:H56"/>
  <sheetViews>
    <sheetView colorId="64" defaultGridColor="true" rightToLeft="false" showFormulas="false" showGridLines="true" showOutlineSymbols="true" showRowColHeaders="true" showZeros="true" tabSelected="false" topLeftCell="A1" view="normal" windowProtection="true" workbookViewId="0" zoomScale="110" zoomScaleNormal="110" zoomScalePageLayoutView="100">
      <pane activePane="bottomRight" topLeftCell="C4" xSplit="2" ySplit="3"/>
      <selection activeCell="A1" activeCellId="0" pane="topLeft" sqref="A1"/>
      <selection activeCell="C1" activeCellId="0" pane="topRight" sqref="C1"/>
      <selection activeCell="A4" activeCellId="0" pane="bottomLeft" sqref="A4"/>
      <selection activeCell="D2" activeCellId="0" pane="bottomRight" sqref="D2"/>
    </sheetView>
  </sheetViews>
  <cols>
    <col collapsed="false" hidden="false" max="1" min="1" style="561" width="3.5843137254902"/>
    <col collapsed="false" hidden="false" max="2" min="2" style="561" width="37.0078431372549"/>
    <col collapsed="false" hidden="false" max="3" min="3" style="561" width="11.6156862745098"/>
    <col collapsed="false" hidden="false" max="5" min="4" style="561" width="11.4745098039216"/>
    <col collapsed="false" hidden="false" max="6" min="6" style="561" width="13.1960784313725"/>
    <col collapsed="false" hidden="false" max="7" min="7" style="561" width="12.6196078431373"/>
    <col collapsed="false" hidden="false" max="8" min="8" style="561" width="11.4745098039216"/>
    <col collapsed="false" hidden="false" max="17" min="9" style="561" width="10.8980392156863"/>
    <col collapsed="false" hidden="false" max="257" min="18" style="561" width="11.4745098039216"/>
  </cols>
  <sheetData>
    <row collapsed="false" customFormat="false" customHeight="false" hidden="false" ht="14" outlineLevel="0" r="1">
      <c r="B1" s="313" t="s">
        <v>786</v>
      </c>
    </row>
    <row collapsed="false" customFormat="false" customHeight="false" hidden="false" ht="14" outlineLevel="0" r="2">
      <c r="B2" s="757"/>
    </row>
    <row collapsed="false" customFormat="false" customHeight="false" hidden="false" ht="57.45" outlineLevel="0" r="3">
      <c r="B3" s="395" t="s">
        <v>297</v>
      </c>
      <c r="C3" s="591" t="s">
        <v>488</v>
      </c>
      <c r="D3" s="591" t="s">
        <v>489</v>
      </c>
      <c r="E3" s="591" t="s">
        <v>787</v>
      </c>
      <c r="F3" s="591" t="s">
        <v>788</v>
      </c>
      <c r="G3" s="591" t="s">
        <v>789</v>
      </c>
      <c r="H3" s="758" t="s">
        <v>790</v>
      </c>
    </row>
    <row collapsed="false" customFormat="false" customHeight="false" hidden="false" ht="14" outlineLevel="0" r="4">
      <c r="B4" s="230" t="str">
        <f aca="false">5_Produccion_Desagregada_09_10!C5</f>
        <v>Servicios Ambulatorios</v>
      </c>
      <c r="C4" s="759"/>
      <c r="D4" s="759"/>
      <c r="E4" s="759"/>
      <c r="F4" s="759"/>
      <c r="G4" s="759"/>
      <c r="H4" s="760"/>
    </row>
    <row collapsed="false" customFormat="false" customHeight="false" hidden="false" ht="14" outlineLevel="0" r="5">
      <c r="B5" s="233" t="str">
        <f aca="false">5_Produccion_Desagregada_09_10!C6</f>
        <v>Consulta Externa Medica </v>
      </c>
      <c r="C5" s="761"/>
      <c r="D5" s="761"/>
      <c r="E5" s="761"/>
      <c r="F5" s="761"/>
      <c r="G5" s="761"/>
      <c r="H5" s="762"/>
    </row>
    <row collapsed="false" customFormat="false" customHeight="false" hidden="false" ht="14" outlineLevel="0" r="6">
      <c r="B6" s="238" t="str">
        <f aca="false">5_Produccion_Desagregada_09_10!C7</f>
        <v>Consulta General </v>
      </c>
      <c r="C6" s="763" t="n">
        <f aca="false">5_Produccion_Desagregada_09_10!D7</f>
        <v>0</v>
      </c>
      <c r="D6" s="763" t="n">
        <f aca="false">5_Produccion_Desagregada_09_10!F7</f>
        <v>0</v>
      </c>
      <c r="E6" s="764" t="str">
        <f aca="false">IF(ISERROR(D6/C6-1),"",(D6/C6-1))</f>
        <v/>
      </c>
      <c r="F6" s="765" t="str">
        <f aca="false">'16. Produc Rend Scio MD 10'!J7</f>
        <v/>
      </c>
      <c r="G6" s="183" t="n">
        <v>0</v>
      </c>
      <c r="H6" s="766" t="str">
        <f aca="false">IF(ISERROR($G6/D6-1),"",$G6/D6-1)</f>
        <v/>
      </c>
    </row>
    <row collapsed="false" customFormat="false" customHeight="false" hidden="false" ht="14" outlineLevel="0" r="7">
      <c r="B7" s="238" t="str">
        <f aca="false">5_Produccion_Desagregada_09_10!C8</f>
        <v>Consulta Especializada</v>
      </c>
      <c r="C7" s="767"/>
      <c r="D7" s="767"/>
      <c r="E7" s="767"/>
      <c r="F7" s="767"/>
      <c r="G7" s="767" t="n">
        <f aca="false">G8+G11</f>
        <v>167333</v>
      </c>
      <c r="H7" s="768"/>
    </row>
    <row collapsed="false" customFormat="false" customHeight="false" hidden="false" ht="14" outlineLevel="0" r="8">
      <c r="B8" s="243" t="str">
        <f aca="false">5_Produccion_Desagregada_09_10!C9</f>
        <v>Consultas de Especializadades Básicas</v>
      </c>
      <c r="C8" s="769"/>
      <c r="D8" s="769"/>
      <c r="E8" s="769"/>
      <c r="F8" s="769"/>
      <c r="G8" s="769" t="n">
        <f aca="false">SUM(G9:G10)</f>
        <v>0</v>
      </c>
      <c r="H8" s="770"/>
    </row>
    <row collapsed="false" customFormat="false" customHeight="false" hidden="false" ht="14" outlineLevel="0" r="9">
      <c r="B9" s="248" t="str">
        <f aca="false">5_Produccion_Desagregada_09_10!C10</f>
        <v>Pediatria General</v>
      </c>
      <c r="C9" s="763" t="str">
        <f aca="false">5_Produccion_Desagregada_09_10!D10</f>
        <v>N/A</v>
      </c>
      <c r="D9" s="763" t="str">
        <f aca="false">5_Produccion_Desagregada_09_10!F10</f>
        <v>N/A</v>
      </c>
      <c r="E9" s="764" t="str">
        <f aca="false">IF(ISERROR(D9/C9-1),"",(D9/C9-1))</f>
        <v/>
      </c>
      <c r="F9" s="771" t="str">
        <f aca="false">'16. Produc Rend Scio MD 10'!J9</f>
        <v/>
      </c>
      <c r="G9" s="183" t="n">
        <v>0</v>
      </c>
      <c r="H9" s="766" t="str">
        <f aca="false">IF(ISERROR($G9/D9-1),"",$G9/D9-1)</f>
        <v/>
      </c>
    </row>
    <row collapsed="false" customFormat="false" customHeight="false" hidden="false" ht="14" outlineLevel="0" r="10">
      <c r="B10" s="248" t="str">
        <f aca="false">5_Produccion_Desagregada_09_10!C11</f>
        <v>Cirugia Pediátrica General</v>
      </c>
      <c r="C10" s="763" t="str">
        <f aca="false">5_Produccion_Desagregada_09_10!D11</f>
        <v>N/A</v>
      </c>
      <c r="D10" s="763" t="str">
        <f aca="false">5_Produccion_Desagregada_09_10!F11</f>
        <v>N/A</v>
      </c>
      <c r="E10" s="764" t="str">
        <f aca="false">IF(ISERROR(D10/C10-1),"",(D10/C10-1))</f>
        <v/>
      </c>
      <c r="F10" s="771"/>
      <c r="G10" s="183" t="n">
        <v>0</v>
      </c>
      <c r="H10" s="766" t="str">
        <f aca="false">IF(ISERROR($G10/D10-1),"",$G10/D10-1)</f>
        <v/>
      </c>
    </row>
    <row collapsed="false" customFormat="false" customHeight="false" hidden="false" ht="14" outlineLevel="0" r="11">
      <c r="B11" s="243" t="str">
        <f aca="false">5_Produccion_Desagregada_09_10!C12</f>
        <v>Consultas de Sub Especializadades</v>
      </c>
      <c r="C11" s="769"/>
      <c r="D11" s="769"/>
      <c r="E11" s="769"/>
      <c r="F11" s="769"/>
      <c r="G11" s="769" t="n">
        <f aca="false">SUM(G12:G14)</f>
        <v>167333</v>
      </c>
      <c r="H11" s="770"/>
    </row>
    <row collapsed="false" customFormat="false" customHeight="false" hidden="false" ht="14" outlineLevel="0" r="12">
      <c r="B12" s="248" t="str">
        <f aca="false">5_Produccion_Desagregada_09_10!C13</f>
        <v>Neonatología</v>
      </c>
      <c r="C12" s="763" t="str">
        <f aca="false">5_Produccion_Desagregada_09_10!D13</f>
        <v>N/A</v>
      </c>
      <c r="D12" s="763" t="str">
        <f aca="false">5_Produccion_Desagregada_09_10!F13</f>
        <v>N/A</v>
      </c>
      <c r="E12" s="764" t="str">
        <f aca="false">IF(ISERROR(D12/C12-1),"",(D12/C12-1))</f>
        <v/>
      </c>
      <c r="F12" s="771" t="n">
        <f aca="false">'16. Produc Rend Scio MD 10'!J12</f>
        <v>0.949407330024408</v>
      </c>
      <c r="G12" s="183" t="n">
        <v>0</v>
      </c>
      <c r="H12" s="766" t="str">
        <f aca="false">IF(ISERROR($G12/D12-1),"",$G12/D12-1)</f>
        <v/>
      </c>
    </row>
    <row collapsed="false" customFormat="false" customHeight="false" hidden="false" ht="14" outlineLevel="0" r="13">
      <c r="B13" s="248" t="str">
        <f aca="false">5_Produccion_Desagregada_09_10!C14</f>
        <v>Pediatria especializada</v>
      </c>
      <c r="C13" s="763" t="n">
        <f aca="false">5_Produccion_Desagregada_09_10!D14</f>
        <v>144296</v>
      </c>
      <c r="D13" s="763" t="n">
        <f aca="false">5_Produccion_Desagregada_09_10!F14</f>
        <v>152087</v>
      </c>
      <c r="E13" s="764" t="n">
        <f aca="false">IF(ISERROR(D13/C13-1),"",(D13/C13-1))</f>
        <v>0.0539931806841492</v>
      </c>
      <c r="F13" s="771"/>
      <c r="G13" s="183" t="n">
        <f aca="false">120640-11092-2416</f>
        <v>107132</v>
      </c>
      <c r="H13" s="766" t="n">
        <f aca="false">IF(ISERROR($G13/D13-1),"",$G13/D13-1)</f>
        <v>-0.295587394057349</v>
      </c>
    </row>
    <row collapsed="false" customFormat="false" customHeight="false" hidden="false" ht="14" outlineLevel="0" r="14">
      <c r="B14" s="248" t="str">
        <f aca="false">5_Produccion_Desagregada_09_10!C15</f>
        <v>Cirugia Pediátrica Especilaizada</v>
      </c>
      <c r="C14" s="763" t="n">
        <f aca="false">5_Produccion_Desagregada_09_10!D15</f>
        <v>50900</v>
      </c>
      <c r="D14" s="763" t="n">
        <f aca="false">5_Produccion_Desagregada_09_10!F15</f>
        <v>55634</v>
      </c>
      <c r="E14" s="764" t="n">
        <f aca="false">IF(ISERROR(D14/C14-1),"",(D14/C14-1))</f>
        <v>0.0930058939096268</v>
      </c>
      <c r="F14" s="771"/>
      <c r="G14" s="183" t="n">
        <v>60201</v>
      </c>
      <c r="H14" s="766" t="n">
        <f aca="false">IF(ISERROR($G14/D14-1),"",$G14/D14-1)</f>
        <v>0.0820900887946221</v>
      </c>
    </row>
    <row collapsed="false" customFormat="false" customHeight="false" hidden="false" ht="14" outlineLevel="0" r="15">
      <c r="B15" s="238" t="str">
        <f aca="false">5_Produccion_Desagregada_09_10!C16</f>
        <v>Consulta de Emergencia</v>
      </c>
      <c r="C15" s="767"/>
      <c r="D15" s="767"/>
      <c r="E15" s="767"/>
      <c r="F15" s="767"/>
      <c r="G15" s="767" t="n">
        <f aca="false">SUM(G16:G17)</f>
        <v>0</v>
      </c>
      <c r="H15" s="768"/>
    </row>
    <row collapsed="false" customFormat="false" customHeight="false" hidden="false" ht="14" outlineLevel="0" r="16">
      <c r="B16" s="248" t="str">
        <f aca="false">5_Produccion_Desagregada_09_10!C17</f>
        <v>Consultas de Emergencia de Medicina Interna Pediatrica</v>
      </c>
      <c r="C16" s="763" t="n">
        <f aca="false">5_Produccion_Desagregada_09_10!D17</f>
        <v>8096</v>
      </c>
      <c r="D16" s="763" t="n">
        <f aca="false">5_Produccion_Desagregada_09_10!F17</f>
        <v>9804</v>
      </c>
      <c r="E16" s="764" t="n">
        <f aca="false">IF(ISERROR(D16/C16-1),"",(D16/C16-1))</f>
        <v>0.21096837944664</v>
      </c>
      <c r="F16" s="765" t="n">
        <f aca="false">'16. Produc Rend Scio MD 10'!J15</f>
        <v>5.46675605982465</v>
      </c>
      <c r="G16" s="183"/>
      <c r="H16" s="766" t="n">
        <f aca="false">IF(ISERROR($G16/D16-1),"",$G16/D16-1)</f>
        <v>-1</v>
      </c>
    </row>
    <row collapsed="false" customFormat="false" customHeight="false" hidden="false" ht="14" outlineLevel="0" r="17">
      <c r="B17" s="248" t="str">
        <f aca="false">5_Produccion_Desagregada_09_10!C18</f>
        <v>Consultas de Emergencia de Cirugia General Pediatrica</v>
      </c>
      <c r="C17" s="763" t="n">
        <f aca="false">5_Produccion_Desagregada_09_10!D18</f>
        <v>13782</v>
      </c>
      <c r="D17" s="763" t="n">
        <f aca="false">5_Produccion_Desagregada_09_10!F18</f>
        <v>13464</v>
      </c>
      <c r="E17" s="764" t="n">
        <f aca="false">IF(ISERROR(D17/C17-1),"",(D17/C17-1))</f>
        <v>-0.023073574227253</v>
      </c>
      <c r="F17" s="765"/>
      <c r="G17" s="183"/>
      <c r="H17" s="766" t="n">
        <f aca="false">IF(ISERROR($G17/D17-1),"",$G17/D17-1)</f>
        <v>-1</v>
      </c>
    </row>
    <row collapsed="false" customFormat="false" customHeight="false" hidden="false" ht="14" outlineLevel="0" r="18">
      <c r="B18" s="233" t="str">
        <f aca="false">5_Produccion_Desagregada_09_10!C19</f>
        <v>Consulta Externa Odontologica</v>
      </c>
      <c r="C18" s="772"/>
      <c r="D18" s="772"/>
      <c r="E18" s="772"/>
      <c r="F18" s="772"/>
      <c r="G18" s="772" t="n">
        <f aca="false">SUM(G19:G20)</f>
        <v>13508</v>
      </c>
      <c r="H18" s="773"/>
    </row>
    <row collapsed="false" customFormat="false" customHeight="false" hidden="false" ht="14" outlineLevel="0" r="19">
      <c r="B19" s="255" t="str">
        <f aca="false">5_Produccion_Desagregada_09_10!C20</f>
        <v>Consulta de Odontologia General</v>
      </c>
      <c r="C19" s="763" t="n">
        <f aca="false">5_Produccion_Desagregada_09_10!D20</f>
        <v>14464</v>
      </c>
      <c r="D19" s="763" t="n">
        <f aca="false">5_Produccion_Desagregada_09_10!F20</f>
        <v>16487</v>
      </c>
      <c r="E19" s="764" t="n">
        <f aca="false">IF(ISERROR(D19/C19-1),"",(D19/C19-1))</f>
        <v>0.139864491150443</v>
      </c>
      <c r="F19" s="765" t="n">
        <f aca="false">'16. Produc Rend Scio MD 10'!J19</f>
        <v>0.779645615629259</v>
      </c>
      <c r="G19" s="183" t="n">
        <v>11092</v>
      </c>
      <c r="H19" s="766" t="n">
        <f aca="false">IF(ISERROR($G19/D19-1),"",$G19/D19-1)</f>
        <v>-0.327227512585673</v>
      </c>
    </row>
    <row collapsed="false" customFormat="false" customHeight="false" hidden="false" ht="14" outlineLevel="0" r="20">
      <c r="B20" s="255" t="str">
        <f aca="false">5_Produccion_Desagregada_09_10!C21</f>
        <v>Consulta de Ortodoncia</v>
      </c>
      <c r="C20" s="763" t="n">
        <f aca="false">5_Produccion_Desagregada_09_10!D21</f>
        <v>1932</v>
      </c>
      <c r="D20" s="763" t="n">
        <f aca="false">5_Produccion_Desagregada_09_10!F21</f>
        <v>1121</v>
      </c>
      <c r="E20" s="764" t="n">
        <f aca="false">IF(ISERROR(D20/C20-1),"",(D20/C20-1))</f>
        <v>-0.419772256728778</v>
      </c>
      <c r="F20" s="765"/>
      <c r="G20" s="183" t="n">
        <v>2416</v>
      </c>
      <c r="H20" s="766" t="n">
        <f aca="false">IF(ISERROR($G20/D20-1),"",$G20/D20-1)</f>
        <v>1.15521855486173</v>
      </c>
    </row>
    <row collapsed="false" customFormat="false" customHeight="false" hidden="false" ht="14" outlineLevel="0" r="21">
      <c r="B21" s="233" t="str">
        <f aca="false">5_Produccion_Desagregada_09_10!C22</f>
        <v>Procedimientos de Cirugia Menor</v>
      </c>
      <c r="C21" s="763" t="n">
        <f aca="false">5_Produccion_Desagregada_09_10!D22</f>
        <v>10679</v>
      </c>
      <c r="D21" s="763" t="n">
        <f aca="false">5_Produccion_Desagregada_09_10!F22</f>
        <v>10153</v>
      </c>
      <c r="E21" s="764" t="n">
        <f aca="false">IF(ISERROR(D21/C21-1),"",(D21/C21-1))</f>
        <v>-0.0492555482723102</v>
      </c>
      <c r="F21" s="765" t="str">
        <f aca="false">'16. Produc Rend Scio MD 10'!J21</f>
        <v/>
      </c>
      <c r="G21" s="774" t="n">
        <v>10500</v>
      </c>
      <c r="H21" s="766" t="n">
        <f aca="false">IF(ISERROR($G21/D21-1),"",$G21/D21-1)</f>
        <v>0.0341770905151186</v>
      </c>
    </row>
    <row collapsed="false" customFormat="false" customHeight="false" hidden="false" ht="14" outlineLevel="0" r="22">
      <c r="B22" s="233" t="str">
        <f aca="false">5_Produccion_Desagregada_09_10!C23</f>
        <v>Otros Procedimientos Ambulatorios</v>
      </c>
      <c r="C22" s="772"/>
      <c r="D22" s="772"/>
      <c r="E22" s="772"/>
      <c r="F22" s="772"/>
      <c r="G22" s="772"/>
      <c r="H22" s="773"/>
    </row>
    <row collapsed="false" customFormat="false" customHeight="false" hidden="false" ht="14" outlineLevel="0" r="23">
      <c r="B23" s="255" t="str">
        <f aca="false">5_Produccion_Desagregada_09_10!C24</f>
        <v>Tratamientos de Nefrología (Diálisis peritoneal)</v>
      </c>
      <c r="C23" s="763" t="n">
        <f aca="false">5_Produccion_Desagregada_09_10!D24</f>
        <v>4217</v>
      </c>
      <c r="D23" s="763" t="n">
        <f aca="false">5_Produccion_Desagregada_09_10!F24</f>
        <v>4707</v>
      </c>
      <c r="E23" s="764" t="n">
        <f aca="false">IF(ISERROR(D23/C23-1),"",(D23/C23-1))</f>
        <v>0.116196348114774</v>
      </c>
      <c r="F23" s="765" t="str">
        <f aca="false">'16. Produc Rend Scio MD 10'!J25</f>
        <v/>
      </c>
      <c r="G23" s="183" t="n">
        <v>4500</v>
      </c>
      <c r="H23" s="766" t="n">
        <f aca="false">IF(ISERROR($G23/D23-1),"",$G23/D23-1)</f>
        <v>-0.0439770554493308</v>
      </c>
    </row>
    <row collapsed="false" customFormat="false" customHeight="false" hidden="false" ht="14" outlineLevel="0" r="24">
      <c r="B24" s="255" t="str">
        <f aca="false">5_Produccion_Desagregada_09_10!C25</f>
        <v>Tratamientos de Nefrología (Hemodiálisis)</v>
      </c>
      <c r="C24" s="763" t="n">
        <f aca="false">5_Produccion_Desagregada_09_10!D25</f>
        <v>2940</v>
      </c>
      <c r="D24" s="763" t="n">
        <f aca="false">5_Produccion_Desagregada_09_10!F25</f>
        <v>3385</v>
      </c>
      <c r="E24" s="764" t="n">
        <f aca="false">IF(ISERROR(D24/C24-1),"",(D24/C24-1))</f>
        <v>0.151360544217687</v>
      </c>
      <c r="F24" s="765"/>
      <c r="G24" s="183" t="n">
        <v>3200</v>
      </c>
      <c r="H24" s="766" t="n">
        <f aca="false">IF(ISERROR($G24/D24-1),"",$G24/D24-1)</f>
        <v>-0.0546528803545052</v>
      </c>
    </row>
    <row collapsed="false" customFormat="false" customHeight="false" hidden="false" ht="14" outlineLevel="0" r="25">
      <c r="B25" s="255" t="str">
        <f aca="false">5_Produccion_Desagregada_09_10!C26</f>
        <v>Tratamientos de Oncología </v>
      </c>
      <c r="C25" s="763" t="n">
        <f aca="false">5_Produccion_Desagregada_09_10!D26</f>
        <v>26168</v>
      </c>
      <c r="D25" s="763" t="n">
        <f aca="false">5_Produccion_Desagregada_09_10!F26</f>
        <v>19106</v>
      </c>
      <c r="E25" s="764" t="n">
        <f aca="false">IF(ISERROR(D25/C25-1),"",(D25/C25-1))</f>
        <v>-0.269871598899419</v>
      </c>
      <c r="F25" s="765"/>
      <c r="G25" s="183" t="n">
        <v>20000</v>
      </c>
      <c r="H25" s="766" t="n">
        <f aca="false">IF(ISERROR($G25/D25-1),"",$G25/D25-1)</f>
        <v>0.0467915837956663</v>
      </c>
    </row>
    <row collapsed="false" customFormat="false" customHeight="false" hidden="false" ht="14" outlineLevel="0" r="26">
      <c r="B26" s="255" t="str">
        <f aca="false">5_Produccion_Desagregada_09_10!C27</f>
        <v>Tratamientos de Hematología</v>
      </c>
      <c r="C26" s="763" t="n">
        <f aca="false">5_Produccion_Desagregada_09_10!D27</f>
        <v>397</v>
      </c>
      <c r="D26" s="763" t="n">
        <f aca="false">5_Produccion_Desagregada_09_10!F27</f>
        <v>394</v>
      </c>
      <c r="E26" s="764" t="n">
        <f aca="false">IF(ISERROR(D26/C26-1),"",(D26/C26-1))</f>
        <v>-0.00755667506297231</v>
      </c>
      <c r="F26" s="765"/>
      <c r="G26" s="183" t="n">
        <v>350</v>
      </c>
      <c r="H26" s="766" t="n">
        <f aca="false">IF(ISERROR($G26/D26-1),"",$G26/D26-1)</f>
        <v>-0.111675126903553</v>
      </c>
    </row>
    <row collapsed="false" customFormat="false" customHeight="false" hidden="false" ht="14" outlineLevel="0" r="27">
      <c r="B27" s="255" t="str">
        <f aca="false">5_Produccion_Desagregada_09_10!C28</f>
        <v>Tratamientos de Oftalmología</v>
      </c>
      <c r="C27" s="763" t="n">
        <f aca="false">5_Produccion_Desagregada_09_10!D28</f>
        <v>8576</v>
      </c>
      <c r="D27" s="763" t="n">
        <f aca="false">5_Produccion_Desagregada_09_10!F28</f>
        <v>9665</v>
      </c>
      <c r="E27" s="764" t="n">
        <f aca="false">IF(ISERROR(D27/C27-1),"",(D27/C27-1))</f>
        <v>0.126982276119403</v>
      </c>
      <c r="F27" s="765"/>
      <c r="G27" s="183" t="n">
        <v>9500</v>
      </c>
      <c r="H27" s="766" t="n">
        <f aca="false">IF(ISERROR($G27/D27-1),"",$G27/D27-1)</f>
        <v>-0.0170719089498189</v>
      </c>
    </row>
    <row collapsed="false" customFormat="false" customHeight="false" hidden="false" ht="14" outlineLevel="0" r="28">
      <c r="B28" s="255" t="str">
        <f aca="false">5_Produccion_Desagregada_09_10!C29</f>
        <v>Cirugía Ambulatoria</v>
      </c>
      <c r="C28" s="763" t="n">
        <f aca="false">5_Produccion_Desagregada_09_10!D29</f>
        <v>2120</v>
      </c>
      <c r="D28" s="763" t="n">
        <f aca="false">5_Produccion_Desagregada_09_10!F29</f>
        <v>2463</v>
      </c>
      <c r="E28" s="764" t="n">
        <f aca="false">IF(ISERROR(D28/C28-1),"",(D28/C28-1))</f>
        <v>0.161792452830189</v>
      </c>
      <c r="F28" s="765"/>
      <c r="G28" s="183" t="n">
        <v>2430</v>
      </c>
      <c r="H28" s="766" t="n">
        <f aca="false">IF(ISERROR($G28/D28-1),"",$G28/D28-1)</f>
        <v>-0.0133982947624848</v>
      </c>
    </row>
    <row collapsed="false" customFormat="false" customHeight="false" hidden="false" ht="14" outlineLevel="0" r="29">
      <c r="B29" s="255" t="str">
        <f aca="false">5_Produccion_Desagregada_09_10!C30</f>
        <v>Observación </v>
      </c>
      <c r="C29" s="763" t="n">
        <f aca="false">5_Produccion_Desagregada_09_10!D30</f>
        <v>7778</v>
      </c>
      <c r="D29" s="763" t="n">
        <f aca="false">5_Produccion_Desagregada_09_10!F30</f>
        <v>7850</v>
      </c>
      <c r="E29" s="764" t="n">
        <f aca="false">IF(ISERROR(D29/C29-1),"",(D29/C29-1))</f>
        <v>0.00925687837490363</v>
      </c>
      <c r="F29" s="765"/>
      <c r="G29" s="183" t="n">
        <v>7500</v>
      </c>
      <c r="H29" s="766" t="n">
        <f aca="false">IF(ISERROR($G29/D29-1),"",$G29/D29-1)</f>
        <v>-0.0445859872611465</v>
      </c>
    </row>
    <row collapsed="false" customFormat="false" customHeight="false" hidden="false" ht="14" outlineLevel="0" r="30">
      <c r="B30" s="255" t="str">
        <f aca="false">5_Produccion_Desagregada_09_10!C31</f>
        <v>Maxima urgencias</v>
      </c>
      <c r="C30" s="763" t="n">
        <f aca="false">5_Produccion_Desagregada_09_10!D31</f>
        <v>2443</v>
      </c>
      <c r="D30" s="763" t="n">
        <f aca="false">5_Produccion_Desagregada_09_10!F31</f>
        <v>1989</v>
      </c>
      <c r="E30" s="764" t="n">
        <f aca="false">IF(ISERROR(D30/C30-1),"",(D30/C30-1))</f>
        <v>-0.185837085550553</v>
      </c>
      <c r="F30" s="765"/>
      <c r="G30" s="183" t="n">
        <v>2000</v>
      </c>
      <c r="H30" s="766" t="n">
        <f aca="false">IF(ISERROR($G30/D30-1),"",$G30/D30-1)</f>
        <v>0.00553041729512316</v>
      </c>
    </row>
    <row collapsed="false" customFormat="false" customHeight="false" hidden="false" ht="14" outlineLevel="0" r="31">
      <c r="B31" s="230" t="str">
        <f aca="false">5_Produccion_Desagregada_09_10!C32</f>
        <v>Servicios Hospitalarios </v>
      </c>
      <c r="C31" s="775"/>
      <c r="D31" s="775"/>
      <c r="E31" s="775"/>
      <c r="F31" s="775"/>
      <c r="G31" s="775"/>
      <c r="H31" s="776"/>
    </row>
    <row collapsed="false" customFormat="false" customHeight="false" hidden="false" ht="14" outlineLevel="0" r="32">
      <c r="B32" s="233" t="str">
        <f aca="false">5_Produccion_Desagregada_09_10!C33</f>
        <v>Egresos</v>
      </c>
      <c r="C32" s="772"/>
      <c r="D32" s="772"/>
      <c r="E32" s="772"/>
      <c r="F32" s="772"/>
      <c r="G32" s="772"/>
      <c r="H32" s="773"/>
    </row>
    <row collapsed="false" customFormat="false" customHeight="false" hidden="false" ht="14" outlineLevel="0" r="33">
      <c r="B33" s="238" t="str">
        <f aca="false">5_Produccion_Desagregada_09_10!C34</f>
        <v>Sub Especialidades de Medicina</v>
      </c>
      <c r="C33" s="767"/>
      <c r="D33" s="767"/>
      <c r="E33" s="767"/>
      <c r="F33" s="767"/>
      <c r="G33" s="767"/>
      <c r="H33" s="768"/>
    </row>
    <row collapsed="false" customFormat="false" customHeight="false" hidden="false" ht="14" outlineLevel="0" r="34">
      <c r="B34" s="255" t="str">
        <f aca="false">5_Produccion_Desagregada_09_10!C35</f>
        <v>Medicina Interna </v>
      </c>
      <c r="C34" s="763" t="n">
        <f aca="false">5_Produccion_Desagregada_09_10!D35</f>
        <v>1242</v>
      </c>
      <c r="D34" s="763" t="n">
        <f aca="false">5_Produccion_Desagregada_09_10!F35</f>
        <v>1106</v>
      </c>
      <c r="E34" s="764" t="n">
        <f aca="false">IF(ISERROR(D34/C34-1),"",(D34/C34-1))</f>
        <v>-0.109500805152979</v>
      </c>
      <c r="F34" s="765" t="str">
        <f aca="false">'16. Produc Rend Scio MD 10'!J31</f>
        <v/>
      </c>
      <c r="G34" s="183" t="n">
        <v>1131</v>
      </c>
      <c r="H34" s="766" t="n">
        <f aca="false">IF(ISERROR($G34/D34-1),"",$G34/D34-1)</f>
        <v>0.0226039783001808</v>
      </c>
    </row>
    <row collapsed="false" customFormat="false" customHeight="false" hidden="false" ht="14" outlineLevel="0" r="35">
      <c r="B35" s="255" t="str">
        <f aca="false">5_Produccion_Desagregada_09_10!C36</f>
        <v>Infectología</v>
      </c>
      <c r="C35" s="763" t="n">
        <f aca="false">5_Produccion_Desagregada_09_10!D36</f>
        <v>2557</v>
      </c>
      <c r="D35" s="763" t="n">
        <f aca="false">5_Produccion_Desagregada_09_10!F36</f>
        <v>2282</v>
      </c>
      <c r="E35" s="764" t="n">
        <f aca="false">IF(ISERROR(D35/C35-1),"",(D35/C35-1))</f>
        <v>-0.107547907704341</v>
      </c>
      <c r="F35" s="765" t="str">
        <f aca="false">'16. Produc Rend Scio MD 10'!J34</f>
        <v/>
      </c>
      <c r="G35" s="183" t="n">
        <v>2738</v>
      </c>
      <c r="H35" s="766" t="n">
        <f aca="false">IF(ISERROR($G35/D35-1),"",$G35/D35-1)</f>
        <v>0.199824715162138</v>
      </c>
    </row>
    <row collapsed="false" customFormat="false" customHeight="false" hidden="false" ht="14" outlineLevel="0" r="36">
      <c r="B36" s="255" t="str">
        <f aca="false">5_Produccion_Desagregada_09_10!C37</f>
        <v>Nefrología</v>
      </c>
      <c r="C36" s="763" t="n">
        <f aca="false">5_Produccion_Desagregada_09_10!D37</f>
        <v>380</v>
      </c>
      <c r="D36" s="763" t="n">
        <f aca="false">5_Produccion_Desagregada_09_10!F37</f>
        <v>323</v>
      </c>
      <c r="E36" s="764" t="n">
        <f aca="false">IF(ISERROR(D36/C36-1),"",(D36/C36-1))</f>
        <v>-0.15</v>
      </c>
      <c r="F36" s="765" t="str">
        <f aca="false">'16. Produc Rend Scio MD 10'!J37</f>
        <v/>
      </c>
      <c r="G36" s="183" t="n">
        <v>315</v>
      </c>
      <c r="H36" s="766" t="n">
        <f aca="false">IF(ISERROR($G36/D36-1),"",$G36/D36-1)</f>
        <v>-0.0247678018575851</v>
      </c>
    </row>
    <row collapsed="false" customFormat="false" customHeight="false" hidden="false" ht="14" outlineLevel="0" r="37">
      <c r="B37" s="255" t="str">
        <f aca="false">5_Produccion_Desagregada_09_10!C38</f>
        <v>Hematología</v>
      </c>
      <c r="C37" s="763" t="n">
        <f aca="false">5_Produccion_Desagregada_09_10!D38</f>
        <v>848</v>
      </c>
      <c r="D37" s="763" t="n">
        <f aca="false">5_Produccion_Desagregada_09_10!F38</f>
        <v>958</v>
      </c>
      <c r="E37" s="764" t="n">
        <f aca="false">IF(ISERROR(D37/C37-1),"",(D37/C37-1))</f>
        <v>0.129716981132076</v>
      </c>
      <c r="F37" s="765" t="str">
        <f aca="false">'16. Produc Rend Scio MD 10'!J40</f>
        <v/>
      </c>
      <c r="G37" s="183" t="n">
        <v>951</v>
      </c>
      <c r="H37" s="766" t="n">
        <f aca="false">IF(ISERROR($G37/D37-1),"",$G37/D37-1)</f>
        <v>-0.00730688935281842</v>
      </c>
    </row>
    <row collapsed="false" customFormat="false" customHeight="false" hidden="false" ht="14" outlineLevel="0" r="38">
      <c r="B38" s="255" t="str">
        <f aca="false">5_Produccion_Desagregada_09_10!C39</f>
        <v>Oncología</v>
      </c>
      <c r="C38" s="763" t="n">
        <f aca="false">5_Produccion_Desagregada_09_10!D39</f>
        <v>635</v>
      </c>
      <c r="D38" s="763" t="n">
        <f aca="false">5_Produccion_Desagregada_09_10!F39</f>
        <v>708</v>
      </c>
      <c r="E38" s="764" t="n">
        <f aca="false">IF(ISERROR(D38/C38-1),"",(D38/C38-1))</f>
        <v>0.11496062992126</v>
      </c>
      <c r="F38" s="765" t="str">
        <f aca="false">'16. Produc Rend Scio MD 10'!J43</f>
        <v/>
      </c>
      <c r="G38" s="183" t="n">
        <v>686</v>
      </c>
      <c r="H38" s="766" t="n">
        <f aca="false">IF(ISERROR($G38/D38-1),"",$G38/D38-1)</f>
        <v>-0.0310734463276836</v>
      </c>
    </row>
    <row collapsed="false" customFormat="false" customHeight="false" hidden="false" ht="14" outlineLevel="0" r="39">
      <c r="B39" s="255" t="str">
        <f aca="false">5_Produccion_Desagregada_09_10!C40</f>
        <v>Neonatología</v>
      </c>
      <c r="C39" s="763" t="n">
        <f aca="false">5_Produccion_Desagregada_09_10!D40</f>
        <v>620</v>
      </c>
      <c r="D39" s="763" t="n">
        <f aca="false">5_Produccion_Desagregada_09_10!F40</f>
        <v>711</v>
      </c>
      <c r="E39" s="764" t="n">
        <f aca="false">IF(ISERROR(D39/C39-1),"",(D39/C39-1))</f>
        <v>0.146774193548387</v>
      </c>
      <c r="F39" s="765" t="str">
        <f aca="false">'16. Produc Rend Scio MD 10'!J46</f>
        <v/>
      </c>
      <c r="G39" s="183" t="n">
        <v>698</v>
      </c>
      <c r="H39" s="766" t="n">
        <f aca="false">IF(ISERROR($G39/D39-1),"",$G39/D39-1)</f>
        <v>-0.0182841068917018</v>
      </c>
    </row>
    <row collapsed="false" customFormat="false" customHeight="false" hidden="false" ht="14" outlineLevel="0" r="40">
      <c r="B40" s="238" t="str">
        <f aca="false">5_Produccion_Desagregada_09_10!C41</f>
        <v>Sub Especialidades de Cirugia</v>
      </c>
      <c r="C40" s="767"/>
      <c r="D40" s="767"/>
      <c r="E40" s="767"/>
      <c r="F40" s="767"/>
      <c r="G40" s="767"/>
      <c r="H40" s="768"/>
    </row>
    <row collapsed="false" customFormat="false" customHeight="false" hidden="false" ht="14" outlineLevel="0" r="41">
      <c r="B41" s="255" t="str">
        <f aca="false">5_Produccion_Desagregada_09_10!C42</f>
        <v>Cirugía General</v>
      </c>
      <c r="C41" s="763" t="n">
        <f aca="false">5_Produccion_Desagregada_09_10!D42</f>
        <v>2291</v>
      </c>
      <c r="D41" s="763" t="n">
        <f aca="false">5_Produccion_Desagregada_09_10!F42</f>
        <v>2410</v>
      </c>
      <c r="E41" s="764" t="n">
        <f aca="false">IF(ISERROR(D41/C41-1),"",(D41/C41-1))</f>
        <v>0.0519423832387604</v>
      </c>
      <c r="F41" s="765" t="str">
        <f aca="false">'16. Produc Rend Scio MD 10'!J49</f>
        <v/>
      </c>
      <c r="G41" s="183" t="n">
        <v>2575</v>
      </c>
      <c r="H41" s="766" t="n">
        <f aca="false">IF(ISERROR($G41/D41-1),"",$G41/D41-1)</f>
        <v>0.0684647302904564</v>
      </c>
    </row>
    <row collapsed="false" customFormat="false" customHeight="false" hidden="false" ht="14" outlineLevel="0" r="42">
      <c r="B42" s="255" t="str">
        <f aca="false">5_Produccion_Desagregada_09_10!C43</f>
        <v>Cirugía Plastica</v>
      </c>
      <c r="C42" s="763" t="n">
        <f aca="false">5_Produccion_Desagregada_09_10!D43</f>
        <v>971</v>
      </c>
      <c r="D42" s="763" t="n">
        <f aca="false">5_Produccion_Desagregada_09_10!F43</f>
        <v>962</v>
      </c>
      <c r="E42" s="764" t="n">
        <f aca="false">IF(ISERROR(D42/C42-1),"",(D42/C42-1))</f>
        <v>-0.00926879505664269</v>
      </c>
      <c r="F42" s="765" t="str">
        <f aca="false">'16. Produc Rend Scio MD 10'!J52</f>
        <v/>
      </c>
      <c r="G42" s="183" t="n">
        <v>1028</v>
      </c>
      <c r="H42" s="766" t="n">
        <f aca="false">IF(ISERROR($G42/D42-1),"",$G42/D42-1)</f>
        <v>0.0686070686070686</v>
      </c>
    </row>
    <row collapsed="false" customFormat="false" customHeight="false" hidden="false" ht="14" outlineLevel="0" r="43">
      <c r="B43" s="255" t="str">
        <f aca="false">5_Produccion_Desagregada_09_10!C44</f>
        <v>Neurocirugía</v>
      </c>
      <c r="C43" s="763" t="n">
        <f aca="false">5_Produccion_Desagregada_09_10!D44</f>
        <v>1213</v>
      </c>
      <c r="D43" s="763" t="n">
        <f aca="false">5_Produccion_Desagregada_09_10!F44</f>
        <v>1152</v>
      </c>
      <c r="E43" s="764" t="n">
        <f aca="false">IF(ISERROR(D43/C43-1),"",(D43/C43-1))</f>
        <v>-0.0502885408079142</v>
      </c>
      <c r="F43" s="765" t="str">
        <f aca="false">'16. Produc Rend Scio MD 10'!J55</f>
        <v/>
      </c>
      <c r="G43" s="183" t="n">
        <v>1309</v>
      </c>
      <c r="H43" s="766" t="n">
        <f aca="false">IF(ISERROR($G43/D43-1),"",$G43/D43-1)</f>
        <v>0.136284722222222</v>
      </c>
    </row>
    <row collapsed="false" customFormat="false" customHeight="false" hidden="false" ht="14" outlineLevel="0" r="44">
      <c r="B44" s="255" t="str">
        <f aca="false">5_Produccion_Desagregada_09_10!C45</f>
        <v>Oftalmología</v>
      </c>
      <c r="C44" s="763" t="n">
        <f aca="false">5_Produccion_Desagregada_09_10!D45</f>
        <v>936</v>
      </c>
      <c r="D44" s="763" t="n">
        <f aca="false">5_Produccion_Desagregada_09_10!F45</f>
        <v>905</v>
      </c>
      <c r="E44" s="764" t="n">
        <f aca="false">IF(ISERROR(D44/C44-1),"",(D44/C44-1))</f>
        <v>-0.0331196581196581</v>
      </c>
      <c r="F44" s="765" t="str">
        <f aca="false">'16. Produc Rend Scio MD 10'!J58</f>
        <v/>
      </c>
      <c r="G44" s="183" t="n">
        <v>732</v>
      </c>
      <c r="H44" s="766" t="n">
        <f aca="false">IF(ISERROR($G44/D44-1),"",$G44/D44-1)</f>
        <v>-0.191160220994475</v>
      </c>
    </row>
    <row collapsed="false" customFormat="false" customHeight="false" hidden="false" ht="14" outlineLevel="0" r="45">
      <c r="B45" s="255" t="str">
        <f aca="false">5_Produccion_Desagregada_09_10!C46</f>
        <v>Otorrinolaringología</v>
      </c>
      <c r="C45" s="763" t="n">
        <f aca="false">5_Produccion_Desagregada_09_10!D46</f>
        <v>989</v>
      </c>
      <c r="D45" s="763" t="n">
        <f aca="false">5_Produccion_Desagregada_09_10!F46</f>
        <v>1131</v>
      </c>
      <c r="E45" s="764" t="n">
        <f aca="false">IF(ISERROR(D45/C45-1),"",(D45/C45-1))</f>
        <v>0.143579373104146</v>
      </c>
      <c r="F45" s="765" t="str">
        <f aca="false">'16. Produc Rend Scio MD 10'!J61</f>
        <v/>
      </c>
      <c r="G45" s="183" t="n">
        <v>1713</v>
      </c>
      <c r="H45" s="766" t="n">
        <f aca="false">IF(ISERROR($G45/D45-1),"",$G45/D45-1)</f>
        <v>0.514588859416446</v>
      </c>
    </row>
    <row collapsed="false" customFormat="false" customHeight="false" hidden="false" ht="14" outlineLevel="0" r="46">
      <c r="B46" s="255" t="str">
        <f aca="false">5_Produccion_Desagregada_09_10!C47</f>
        <v>Ortopedia</v>
      </c>
      <c r="C46" s="763" t="n">
        <f aca="false">5_Produccion_Desagregada_09_10!D47</f>
        <v>778</v>
      </c>
      <c r="D46" s="763" t="n">
        <f aca="false">5_Produccion_Desagregada_09_10!F47</f>
        <v>706</v>
      </c>
      <c r="E46" s="764" t="n">
        <f aca="false">IF(ISERROR(D46/C46-1),"",(D46/C46-1))</f>
        <v>-0.0925449871465296</v>
      </c>
      <c r="F46" s="765" t="str">
        <f aca="false">'16. Produc Rend Scio MD 10'!J64</f>
        <v/>
      </c>
      <c r="G46" s="183" t="n">
        <v>838</v>
      </c>
      <c r="H46" s="766" t="n">
        <f aca="false">IF(ISERROR($G46/D46-1),"",$G46/D46-1)</f>
        <v>0.186968838526912</v>
      </c>
    </row>
    <row collapsed="false" customFormat="false" customHeight="false" hidden="false" ht="14" outlineLevel="0" r="47">
      <c r="B47" s="238" t="str">
        <f aca="false">5_Produccion_Desagregada_09_10!C48</f>
        <v>Otros Servicios (Convenios / BM / ISSS)</v>
      </c>
      <c r="C47" s="763" t="n">
        <f aca="false">5_Produccion_Desagregada_09_10!D48</f>
        <v>1070</v>
      </c>
      <c r="D47" s="763" t="n">
        <f aca="false">5_Produccion_Desagregada_09_10!F48</f>
        <v>1073</v>
      </c>
      <c r="E47" s="764" t="n">
        <f aca="false">IF(ISERROR(D47/C47-1),"",(D47/C47-1))</f>
        <v>0.00280373831775704</v>
      </c>
      <c r="F47" s="765" t="str">
        <f aca="false">'16. Produc Rend Scio MD 10'!J67</f>
        <v/>
      </c>
      <c r="G47" s="183" t="n">
        <v>1213</v>
      </c>
      <c r="H47" s="766" t="n">
        <f aca="false">IF(ISERROR($G47/D47-1),"",$G47/D47-1)</f>
        <v>0.130475302889096</v>
      </c>
    </row>
    <row collapsed="false" customFormat="false" customHeight="false" hidden="false" ht="14" outlineLevel="0" r="48">
      <c r="B48" s="233" t="str">
        <f aca="false">5_Produccion_Desagregada_09_10!C49</f>
        <v>Centro Quirurgico (Cirugías Mayores)</v>
      </c>
      <c r="C48" s="772"/>
      <c r="D48" s="772"/>
      <c r="E48" s="772"/>
      <c r="F48" s="772"/>
      <c r="G48" s="772"/>
      <c r="H48" s="773"/>
    </row>
    <row collapsed="false" customFormat="false" customHeight="false" hidden="false" ht="14" outlineLevel="0" r="49">
      <c r="B49" s="255" t="str">
        <f aca="false">5_Produccion_Desagregada_09_10!C50</f>
        <v>Electivas para Hospitalización</v>
      </c>
      <c r="C49" s="763" t="n">
        <f aca="false">5_Produccion_Desagregada_09_10!D50</f>
        <v>4259</v>
      </c>
      <c r="D49" s="763" t="n">
        <f aca="false">5_Produccion_Desagregada_09_10!F50</f>
        <v>4688</v>
      </c>
      <c r="E49" s="764" t="n">
        <f aca="false">IF(ISERROR(D49/C49-1),"",(D49/C49-1))</f>
        <v>0.100727870392111</v>
      </c>
      <c r="F49" s="765" t="str">
        <f aca="false">'16. Produc Rend Scio MD 10'!J71</f>
        <v/>
      </c>
      <c r="G49" s="183" t="n">
        <v>4817</v>
      </c>
      <c r="H49" s="766" t="n">
        <f aca="false">IF(ISERROR($G49/D49-1),"",$G49/D49-1)</f>
        <v>0.0275170648464165</v>
      </c>
    </row>
    <row collapsed="false" customFormat="false" customHeight="false" hidden="false" ht="14" outlineLevel="0" r="50">
      <c r="B50" s="255" t="str">
        <f aca="false">5_Produccion_Desagregada_09_10!C51</f>
        <v>Electivas Ambulatorias</v>
      </c>
      <c r="C50" s="763" t="n">
        <f aca="false">5_Produccion_Desagregada_09_10!D51</f>
        <v>2664</v>
      </c>
      <c r="D50" s="763" t="n">
        <f aca="false">5_Produccion_Desagregada_09_10!F51</f>
        <v>1939</v>
      </c>
      <c r="E50" s="764" t="n">
        <f aca="false">IF(ISERROR(D50/C50-1),"",(D50/C50-1))</f>
        <v>-0.272147147147147</v>
      </c>
      <c r="F50" s="765"/>
      <c r="G50" s="183" t="n">
        <v>1873</v>
      </c>
      <c r="H50" s="766" t="n">
        <f aca="false">IF(ISERROR($G50/D50-1),"",$G50/D50-1)</f>
        <v>-0.0340381640020629</v>
      </c>
    </row>
    <row collapsed="false" customFormat="false" customHeight="false" hidden="false" ht="14" outlineLevel="0" r="51">
      <c r="B51" s="255" t="str">
        <f aca="false">5_Produccion_Desagregada_09_10!C52</f>
        <v>De Emergencia para Hospitalización</v>
      </c>
      <c r="C51" s="763" t="n">
        <f aca="false">5_Produccion_Desagregada_09_10!D52</f>
        <v>3091</v>
      </c>
      <c r="D51" s="763" t="n">
        <f aca="false">5_Produccion_Desagregada_09_10!F52</f>
        <v>3310</v>
      </c>
      <c r="E51" s="764" t="n">
        <f aca="false">IF(ISERROR(D51/C51-1),"",(D51/C51-1))</f>
        <v>0.0708508573277256</v>
      </c>
      <c r="F51" s="765"/>
      <c r="G51" s="183" t="n">
        <v>3200</v>
      </c>
      <c r="H51" s="766" t="n">
        <f aca="false">IF(ISERROR($G51/D51-1),"",$G51/D51-1)</f>
        <v>-0.0332326283987915</v>
      </c>
    </row>
    <row collapsed="false" customFormat="false" customHeight="false" hidden="false" ht="14" outlineLevel="0" r="52">
      <c r="B52" s="255" t="str">
        <f aca="false">5_Produccion_Desagregada_09_10!C53</f>
        <v>De Emergencia Ambulatoria</v>
      </c>
      <c r="C52" s="763" t="n">
        <f aca="false">5_Produccion_Desagregada_09_10!D53</f>
        <v>523</v>
      </c>
      <c r="D52" s="763" t="n">
        <f aca="false">5_Produccion_Desagregada_09_10!F53</f>
        <v>301</v>
      </c>
      <c r="E52" s="764" t="n">
        <f aca="false">IF(ISERROR(D52/C52-1),"",(D52/C52-1))</f>
        <v>-0.424474187380497</v>
      </c>
      <c r="F52" s="765"/>
      <c r="G52" s="183" t="n">
        <v>300</v>
      </c>
      <c r="H52" s="766" t="n">
        <f aca="false">IF(ISERROR($G52/D52-1),"",$G52/D52-1)</f>
        <v>-0.00332225913621265</v>
      </c>
    </row>
    <row collapsed="false" customFormat="false" customHeight="false" hidden="false" ht="14" outlineLevel="0" r="53">
      <c r="B53" s="233" t="str">
        <f aca="false">5_Produccion_Desagregada_09_10!C54</f>
        <v>Cuidados Criticos</v>
      </c>
      <c r="C53" s="772"/>
      <c r="D53" s="772"/>
      <c r="E53" s="772"/>
      <c r="F53" s="772"/>
      <c r="G53" s="772"/>
      <c r="H53" s="773"/>
    </row>
    <row collapsed="false" customFormat="false" customHeight="false" hidden="false" ht="14" outlineLevel="0" r="54">
      <c r="B54" s="255" t="str">
        <f aca="false">5_Produccion_Desagregada_09_10!C55</f>
        <v>Unidad de Cuidados Intensivos</v>
      </c>
      <c r="C54" s="763" t="n">
        <f aca="false">5_Produccion_Desagregada_09_10!D55</f>
        <v>1110</v>
      </c>
      <c r="D54" s="763" t="n">
        <f aca="false">5_Produccion_Desagregada_09_10!F55</f>
        <v>926</v>
      </c>
      <c r="E54" s="764" t="n">
        <f aca="false">IF(ISERROR(D54/C54-1),"",(D54/C54-1))</f>
        <v>-0.165765765765766</v>
      </c>
      <c r="F54" s="777"/>
      <c r="G54" s="183" t="n">
        <v>942</v>
      </c>
      <c r="H54" s="766" t="n">
        <f aca="false">IF(ISERROR($G54/D54-1),"",$G54/D54-1)</f>
        <v>0.0172786177105833</v>
      </c>
    </row>
    <row collapsed="false" customFormat="false" customHeight="false" hidden="false" ht="14" outlineLevel="0" r="55">
      <c r="B55" s="255" t="str">
        <f aca="false">5_Produccion_Desagregada_09_10!C56</f>
        <v>Unidad de Cuidados Intermedios</v>
      </c>
      <c r="C55" s="763" t="n">
        <f aca="false">5_Produccion_Desagregada_09_10!D56</f>
        <v>233</v>
      </c>
      <c r="D55" s="763" t="n">
        <f aca="false">5_Produccion_Desagregada_09_10!F56</f>
        <v>247</v>
      </c>
      <c r="E55" s="764" t="n">
        <f aca="false">IF(ISERROR(D55/C55-1),"",(D55/C55-1))</f>
        <v>0.0600858369098714</v>
      </c>
      <c r="F55" s="777"/>
      <c r="G55" s="183" t="n">
        <v>244</v>
      </c>
      <c r="H55" s="766" t="n">
        <f aca="false">IF(ISERROR($G55/D55-1),"",$G55/D55-1)</f>
        <v>-0.0121457489878543</v>
      </c>
    </row>
    <row collapsed="false" customFormat="false" customHeight="false" hidden="false" ht="14" outlineLevel="0" r="56">
      <c r="B56" s="263" t="str">
        <f aca="false">5_Produccion_Desagregada_09_10!C57</f>
        <v>Unidad de Cuidados Intensivos Neonatales</v>
      </c>
      <c r="C56" s="778" t="n">
        <f aca="false">5_Produccion_Desagregada_09_10!D57</f>
        <v>508</v>
      </c>
      <c r="D56" s="778" t="n">
        <f aca="false">5_Produccion_Desagregada_09_10!F57</f>
        <v>469</v>
      </c>
      <c r="E56" s="779" t="n">
        <f aca="false">IF(ISERROR(D56/C56-1),"",(D56/C56-1))</f>
        <v>-0.0767716535433071</v>
      </c>
      <c r="F56" s="777"/>
      <c r="G56" s="780" t="n">
        <v>474</v>
      </c>
      <c r="H56" s="781" t="n">
        <f aca="false">IF(ISERROR($G56/D56-1),"",$G56/D56-1)</f>
        <v>0.0106609808102345</v>
      </c>
    </row>
  </sheetData>
  <mergeCells count="7">
    <mergeCell ref="F9:F10"/>
    <mergeCell ref="F12:F14"/>
    <mergeCell ref="F16:F17"/>
    <mergeCell ref="F19:F20"/>
    <mergeCell ref="F23:F30"/>
    <mergeCell ref="F49:F52"/>
    <mergeCell ref="F54:F56"/>
  </mergeCells>
  <printOptions headings="false" gridLines="false" gridLinesSet="true" horizontalCentered="false" verticalCentered="false"/>
  <pageMargins left="1.02013888888889" right="0.540277777777778" top="0.747916666666667" bottom="0.747916666666667" header="0.511805555555555" footer="0.511805555555555"/>
  <pageSetup blackAndWhite="false" cellComments="none" copies="1" draft="false" firstPageNumber="0" fitToHeight="1" fitToWidth="1" horizontalDpi="300" orientation="portrait" pageOrder="downThenOver" paperSize="9" scale="75" useFirstPageNumber="false" usePrinterDefaults="false" verticalDpi="300"/>
  <headerFooter differentFirst="false" differentOddEven="false">
    <oddHeader/>
    <oddFooter/>
  </headerFooter>
</worksheet>
</file>

<file path=xl/worksheets/sheet22.xml><?xml version="1.0" encoding="utf-8"?>
<worksheet xmlns="http://schemas.openxmlformats.org/spreadsheetml/2006/main" xmlns:r="http://schemas.openxmlformats.org/officeDocument/2006/relationships">
  <sheetPr filterMode="false">
    <pageSetUpPr fitToPage="false"/>
  </sheetPr>
  <dimension ref="A1:AS33"/>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Right" topLeftCell="D23" xSplit="3" ySplit="4"/>
      <selection activeCell="A1" activeCellId="0" pane="topLeft" sqref="A1"/>
      <selection activeCell="D1" activeCellId="0" pane="topRight" sqref="D1"/>
      <selection activeCell="A23" activeCellId="0" pane="bottomLeft" sqref="A23"/>
      <selection activeCell="F17" activeCellId="0" pane="bottomRight" sqref="F17"/>
    </sheetView>
  </sheetViews>
  <cols>
    <col collapsed="false" hidden="false" max="1" min="1" style="561" width="1.72156862745098"/>
    <col collapsed="false" hidden="false" max="2" min="2" style="561" width="30.9843137254902"/>
    <col collapsed="false" hidden="false" max="3" min="3" style="561" width="10.6117647058824"/>
    <col collapsed="false" hidden="false" max="5" min="4" style="561" width="8.74901960784314"/>
    <col collapsed="false" hidden="false" max="6" min="6" style="561" width="11.7607843137255"/>
    <col collapsed="false" hidden="false" max="8" min="7" style="561" width="8.74901960784314"/>
    <col collapsed="false" hidden="false" max="9" min="9" style="561" width="11.7607843137255"/>
    <col collapsed="false" hidden="false" max="11" min="10" style="561" width="8.74901960784314"/>
    <col collapsed="false" hidden="false" max="12" min="12" style="561" width="11.7607843137255"/>
    <col collapsed="false" hidden="false" max="14" min="13" style="561" width="8.74901960784314"/>
    <col collapsed="false" hidden="false" max="15" min="15" style="561" width="11.7607843137255"/>
    <col collapsed="false" hidden="false" max="17" min="16" style="561" width="8.74901960784314"/>
    <col collapsed="false" hidden="false" max="18" min="18" style="782" width="11.7607843137255"/>
    <col collapsed="false" hidden="false" max="20" min="19" style="561" width="8.74901960784314"/>
    <col collapsed="false" hidden="false" max="21" min="21" style="561" width="11.7607843137255"/>
    <col collapsed="false" hidden="false" max="23" min="22" style="561" width="8.74901960784314"/>
    <col collapsed="false" hidden="false" max="24" min="24" style="561" width="11.7607843137255"/>
    <col collapsed="false" hidden="false" max="26" min="25" style="561" width="8.74901960784314"/>
    <col collapsed="false" hidden="false" max="27" min="27" style="561" width="11.7607843137255"/>
    <col collapsed="false" hidden="false" max="29" min="28" style="561" width="8.74901960784314"/>
    <col collapsed="false" hidden="false" max="30" min="30" style="561" width="11.7607843137255"/>
    <col collapsed="false" hidden="false" max="32" min="31" style="561" width="8.74901960784314"/>
    <col collapsed="false" hidden="false" max="33" min="33" style="561" width="11.7607843137255"/>
    <col collapsed="false" hidden="false" max="35" min="34" style="561" width="8.74901960784314"/>
    <col collapsed="false" hidden="false" max="36" min="36" style="561" width="11.7607843137255"/>
    <col collapsed="false" hidden="false" max="38" min="37" style="561" width="8.74901960784314"/>
    <col collapsed="false" hidden="false" max="39" min="39" style="561" width="11.7607843137255"/>
    <col collapsed="false" hidden="false" max="41" min="40" style="561" width="8.74901960784314"/>
    <col collapsed="false" hidden="false" max="42" min="42" style="561" width="11.7607843137255"/>
    <col collapsed="false" hidden="false" max="44" min="43" style="561" width="8.74901960784314"/>
    <col collapsed="false" hidden="false" max="45" min="45" style="561" width="11.7607843137255"/>
    <col collapsed="false" hidden="false" max="257" min="46" style="561" width="11.4745098039216"/>
  </cols>
  <sheetData>
    <row collapsed="false" customFormat="false" customHeight="false" hidden="false" ht="15.2" outlineLevel="0" r="1">
      <c r="A1" s="783"/>
      <c r="B1" s="500" t="s">
        <v>791</v>
      </c>
    </row>
    <row collapsed="false" customFormat="false" customHeight="false" hidden="false" ht="14" outlineLevel="0" r="2">
      <c r="A2" s="783"/>
      <c r="B2" s="757"/>
    </row>
    <row collapsed="false" customFormat="false" customHeight="true" hidden="false" ht="33.75" outlineLevel="0" r="3">
      <c r="A3" s="784"/>
      <c r="B3" s="395" t="s">
        <v>297</v>
      </c>
      <c r="C3" s="719" t="s">
        <v>792</v>
      </c>
      <c r="D3" s="785" t="str">
        <f aca="false">6_Prod_Scios_Intermedios_10!C6&amp;" Por Servicio final"</f>
        <v>Examenes Por Servicio final</v>
      </c>
      <c r="E3" s="785"/>
      <c r="F3" s="786" t="str">
        <f aca="false">6_Prod_Scios_Intermedios_10!B6</f>
        <v>LABORATORIO CLINICO GENERAL</v>
      </c>
      <c r="G3" s="785" t="str">
        <f aca="false">6_Prod_Scios_Intermedios_10!C34 &amp;" Por Servicio final"</f>
        <v>Examenes Por Servicio final</v>
      </c>
      <c r="H3" s="785"/>
      <c r="I3" s="786" t="str">
        <f aca="false">6_Prod_Scios_Intermedios_10!B34</f>
        <v>LABORATORIO CLINICO ESPECIALIZADO</v>
      </c>
      <c r="J3" s="785" t="str">
        <f aca="false">6_Prod_Scios_Intermedios_10!C62 &amp;" Por Servicio final"</f>
        <v>Unidades de Sangre Por Servicio final</v>
      </c>
      <c r="K3" s="785"/>
      <c r="L3" s="786" t="str">
        <f aca="false">6_Prod_Scios_Intermedios_10!B62</f>
        <v>BANCO DE SANGRE </v>
      </c>
      <c r="M3" s="785" t="str">
        <f aca="false">6_Prod_Scios_Intermedios_10!C91 &amp;" Por Servicio final"</f>
        <v>Estudios Por Servicio final</v>
      </c>
      <c r="N3" s="785"/>
      <c r="O3" s="786" t="str">
        <f aca="false">6_Prod_Scios_Intermedios_10!B91</f>
        <v>RAYOS X</v>
      </c>
      <c r="P3" s="785" t="str">
        <f aca="false">6_Prod_Scios_Intermedios_10!C119 &amp;" Por Servicio final"</f>
        <v>Estudios Por Servicio final</v>
      </c>
      <c r="Q3" s="785"/>
      <c r="R3" s="786" t="str">
        <f aca="false">6_Prod_Scios_Intermedios_10!B119</f>
        <v>ULTRASONOGRAFIA</v>
      </c>
      <c r="S3" s="785" t="str">
        <f aca="false">6_Prod_Scios_Intermedios_10!C147 &amp;" Por Servicio final"</f>
        <v>Estudios Por Servicio final</v>
      </c>
      <c r="T3" s="785"/>
      <c r="U3" s="786" t="str">
        <f aca="false">6_Prod_Scios_Intermedios_10!B147</f>
        <v>TAC / RESONANCIA MAGNETICA</v>
      </c>
      <c r="V3" s="785" t="str">
        <f aca="false">6_Prod_Scios_Intermedios_10!C176 &amp;" Por Servicio final"</f>
        <v>Estudios Por Servicio final</v>
      </c>
      <c r="W3" s="785"/>
      <c r="X3" s="786" t="str">
        <f aca="false">6_Prod_Scios_Intermedios_10!B176</f>
        <v>ELECTROENCEFALOGRAFIA</v>
      </c>
      <c r="Y3" s="785" t="str">
        <f aca="false">6_Prod_Scios_Intermedios_10!C204 &amp;" Por Servicio final"</f>
        <v>Estudios Por Servicio final</v>
      </c>
      <c r="Z3" s="785"/>
      <c r="AA3" s="786" t="str">
        <f aca="false">6_Prod_Scios_Intermedios_10!B204</f>
        <v>ELECTROCARDIOGRAFIA</v>
      </c>
      <c r="AB3" s="785" t="str">
        <f aca="false">6_Prod_Scios_Intermedios_10!C232 &amp;" Por Servicio final"</f>
        <v>Estudios Por Servicio final</v>
      </c>
      <c r="AC3" s="785"/>
      <c r="AD3" s="786" t="str">
        <f aca="false">6_Prod_Scios_Intermedios_10!B232</f>
        <v>ECOCARDIOGRAFIA</v>
      </c>
      <c r="AE3" s="785" t="str">
        <f aca="false">6_Prod_Scios_Intermedios_10!C260 &amp;" Por Servicio final"</f>
        <v>Estudios Por Servicio final</v>
      </c>
      <c r="AF3" s="785"/>
      <c r="AG3" s="786" t="str">
        <f aca="false">6_Prod_Scios_Intermedios_10!B260</f>
        <v>AUDIOMETRIAS</v>
      </c>
      <c r="AH3" s="785" t="str">
        <f aca="false">6_Prod_Scios_Intermedios_10!C288 &amp;" Por Servicio final"</f>
        <v>Estudios Por Servicio final</v>
      </c>
      <c r="AI3" s="785"/>
      <c r="AJ3" s="786" t="str">
        <f aca="false">6_Prod_Scios_Intermedios_10!B288</f>
        <v>ANATOMIA PATOLOGICA</v>
      </c>
      <c r="AK3" s="785" t="str">
        <f aca="false">6_Prod_Scios_Intermedios_10!C317 &amp;" Por Servicio final"</f>
        <v>Recetas Despachadas Por Servicio final</v>
      </c>
      <c r="AL3" s="785"/>
      <c r="AM3" s="786" t="str">
        <f aca="false">6_Prod_Scios_Intermedios_10!B317</f>
        <v>MEDICAMENTOS</v>
      </c>
      <c r="AN3" s="785" t="str">
        <f aca="false">6_Prod_Scios_Intermedios_10!C345 &amp;" Por Servicio final"</f>
        <v>Preparados Fabricados Por Servicio final</v>
      </c>
      <c r="AO3" s="785"/>
      <c r="AP3" s="786" t="str">
        <f aca="false">6_Prod_Scios_Intermedios_10!B345</f>
        <v>PREPARADOS FABRICADOS</v>
      </c>
      <c r="AQ3" s="785" t="str">
        <f aca="false">6_Prod_Scios_Intermedios_10!C373 &amp;" Por Servicio final"</f>
        <v>Preparados Nparenteral Por Servicio final</v>
      </c>
      <c r="AR3" s="785"/>
      <c r="AS3" s="787" t="str">
        <f aca="false">6_Prod_Scios_Intermedios_10!B373</f>
        <v>PREPARADOS ALIMENTACION PARENTERAL</v>
      </c>
    </row>
    <row collapsed="false" customFormat="false" customHeight="false" hidden="false" ht="30.55" outlineLevel="0" r="4">
      <c r="A4" s="784"/>
      <c r="B4" s="395"/>
      <c r="C4" s="719"/>
      <c r="D4" s="788" t="n">
        <v>2010</v>
      </c>
      <c r="E4" s="789" t="n">
        <v>2011</v>
      </c>
      <c r="F4" s="790" t="s">
        <v>793</v>
      </c>
      <c r="G4" s="788" t="n">
        <v>2010</v>
      </c>
      <c r="H4" s="789" t="n">
        <v>2011</v>
      </c>
      <c r="I4" s="790" t="s">
        <v>793</v>
      </c>
      <c r="J4" s="788" t="n">
        <v>2010</v>
      </c>
      <c r="K4" s="789" t="n">
        <v>2011</v>
      </c>
      <c r="L4" s="790" t="s">
        <v>793</v>
      </c>
      <c r="M4" s="788" t="n">
        <v>2010</v>
      </c>
      <c r="N4" s="789" t="n">
        <v>2011</v>
      </c>
      <c r="O4" s="790" t="s">
        <v>793</v>
      </c>
      <c r="P4" s="788" t="n">
        <v>2010</v>
      </c>
      <c r="Q4" s="789" t="n">
        <v>2011</v>
      </c>
      <c r="R4" s="790" t="s">
        <v>793</v>
      </c>
      <c r="S4" s="788" t="n">
        <v>2010</v>
      </c>
      <c r="T4" s="789" t="n">
        <v>2011</v>
      </c>
      <c r="U4" s="790" t="s">
        <v>793</v>
      </c>
      <c r="V4" s="788" t="n">
        <v>2010</v>
      </c>
      <c r="W4" s="789" t="n">
        <v>2011</v>
      </c>
      <c r="X4" s="790" t="s">
        <v>793</v>
      </c>
      <c r="Y4" s="788" t="n">
        <v>2010</v>
      </c>
      <c r="Z4" s="789" t="n">
        <v>2011</v>
      </c>
      <c r="AA4" s="790" t="s">
        <v>793</v>
      </c>
      <c r="AB4" s="788" t="n">
        <v>2010</v>
      </c>
      <c r="AC4" s="789" t="n">
        <v>2011</v>
      </c>
      <c r="AD4" s="790" t="s">
        <v>793</v>
      </c>
      <c r="AE4" s="788" t="n">
        <v>2010</v>
      </c>
      <c r="AF4" s="789" t="n">
        <v>2011</v>
      </c>
      <c r="AG4" s="790" t="s">
        <v>793</v>
      </c>
      <c r="AH4" s="788" t="n">
        <v>2010</v>
      </c>
      <c r="AI4" s="789" t="n">
        <v>2011</v>
      </c>
      <c r="AJ4" s="790" t="s">
        <v>793</v>
      </c>
      <c r="AK4" s="788" t="n">
        <v>2010</v>
      </c>
      <c r="AL4" s="789" t="n">
        <v>2011</v>
      </c>
      <c r="AM4" s="790" t="s">
        <v>793</v>
      </c>
      <c r="AN4" s="788" t="n">
        <v>2010</v>
      </c>
      <c r="AO4" s="789" t="n">
        <v>2011</v>
      </c>
      <c r="AP4" s="790" t="s">
        <v>793</v>
      </c>
      <c r="AQ4" s="788" t="n">
        <v>2010</v>
      </c>
      <c r="AR4" s="789" t="n">
        <v>2011</v>
      </c>
      <c r="AS4" s="791" t="s">
        <v>793</v>
      </c>
    </row>
    <row collapsed="false" customFormat="false" customHeight="false" hidden="false" ht="14" outlineLevel="0" r="5">
      <c r="A5" s="792"/>
      <c r="B5" s="793" t="str">
        <f aca="false">6_Prod_Scios_Intermedios_10!B7</f>
        <v>Servicios Ambulatorios</v>
      </c>
      <c r="C5" s="794"/>
      <c r="D5" s="794"/>
      <c r="E5" s="794"/>
      <c r="F5" s="795"/>
      <c r="G5" s="794"/>
      <c r="H5" s="794"/>
      <c r="I5" s="795"/>
      <c r="J5" s="794"/>
      <c r="K5" s="794"/>
      <c r="L5" s="795"/>
      <c r="M5" s="794"/>
      <c r="N5" s="794"/>
      <c r="O5" s="795"/>
      <c r="P5" s="794"/>
      <c r="Q5" s="794"/>
      <c r="R5" s="795"/>
      <c r="S5" s="794"/>
      <c r="T5" s="794"/>
      <c r="U5" s="795"/>
      <c r="V5" s="794"/>
      <c r="W5" s="794"/>
      <c r="X5" s="795"/>
      <c r="Y5" s="794"/>
      <c r="Z5" s="794"/>
      <c r="AA5" s="795"/>
      <c r="AB5" s="794"/>
      <c r="AC5" s="794"/>
      <c r="AD5" s="795"/>
      <c r="AE5" s="794"/>
      <c r="AF5" s="794"/>
      <c r="AG5" s="795"/>
      <c r="AH5" s="794"/>
      <c r="AI5" s="794"/>
      <c r="AJ5" s="795"/>
      <c r="AK5" s="794"/>
      <c r="AL5" s="794"/>
      <c r="AM5" s="795"/>
      <c r="AN5" s="794"/>
      <c r="AO5" s="794"/>
      <c r="AP5" s="795"/>
      <c r="AQ5" s="794"/>
      <c r="AR5" s="794"/>
      <c r="AS5" s="796"/>
    </row>
    <row collapsed="false" customFormat="false" customHeight="false" hidden="false" ht="14" outlineLevel="0" r="6">
      <c r="A6" s="792"/>
      <c r="B6" s="797" t="str">
        <f aca="false">6_Prod_Scios_Intermedios_10!B8</f>
        <v>Consulta General </v>
      </c>
      <c r="C6" s="798" t="n">
        <f aca="false">17_Prog_Produc_2011!G6</f>
        <v>0</v>
      </c>
      <c r="D6" s="799" t="str">
        <f aca="false">6_Prod_Scios_Intermedios_10!G8</f>
        <v/>
      </c>
      <c r="E6" s="800" t="str">
        <f aca="false">D6</f>
        <v/>
      </c>
      <c r="F6" s="801" t="str">
        <f aca="false">IF(ISERROR($C6*E6),"",ROUND($C6*E6,0))</f>
        <v/>
      </c>
      <c r="G6" s="799" t="str">
        <f aca="false">6_Prod_Scios_Intermedios_10!G36</f>
        <v/>
      </c>
      <c r="H6" s="800" t="str">
        <f aca="false">G6</f>
        <v/>
      </c>
      <c r="I6" s="801" t="str">
        <f aca="false">IF(ISERROR($C6*H6),"",ROUND($C6*H6,0))</f>
        <v/>
      </c>
      <c r="J6" s="799" t="str">
        <f aca="false">6_Prod_Scios_Intermedios_10!G64</f>
        <v/>
      </c>
      <c r="K6" s="800" t="str">
        <f aca="false">J6</f>
        <v/>
      </c>
      <c r="L6" s="801" t="str">
        <f aca="false">IF(ISERROR($C6*K6),"",ROUND($C6*K6,0))</f>
        <v/>
      </c>
      <c r="M6" s="799" t="str">
        <f aca="false">6_Prod_Scios_Intermedios_10!G93</f>
        <v/>
      </c>
      <c r="N6" s="800" t="str">
        <f aca="false">M6</f>
        <v/>
      </c>
      <c r="O6" s="801" t="str">
        <f aca="false">IF(ISERROR($C6*N6),"",ROUND($C6*N6,0))</f>
        <v/>
      </c>
      <c r="P6" s="799" t="str">
        <f aca="false">6_Prod_Scios_Intermedios_10!G121</f>
        <v/>
      </c>
      <c r="Q6" s="800" t="str">
        <f aca="false">P6</f>
        <v/>
      </c>
      <c r="R6" s="801" t="str">
        <f aca="false">IF(ISERROR($C6*Q6),"",ROUND($C6*Q6,0))</f>
        <v/>
      </c>
      <c r="S6" s="799" t="str">
        <f aca="false">6_Prod_Scios_Intermedios_10!G149</f>
        <v/>
      </c>
      <c r="T6" s="800" t="str">
        <f aca="false">S6</f>
        <v/>
      </c>
      <c r="U6" s="801" t="str">
        <f aca="false">IF(ISERROR($C6*T6),"",ROUND($C6*T6,0))</f>
        <v/>
      </c>
      <c r="V6" s="799" t="str">
        <f aca="false">6_Prod_Scios_Intermedios_10!G178</f>
        <v/>
      </c>
      <c r="W6" s="800" t="str">
        <f aca="false">V6</f>
        <v/>
      </c>
      <c r="X6" s="801" t="str">
        <f aca="false">IF(ISERROR($C6*W6),"",ROUND($C6*W6,0))</f>
        <v/>
      </c>
      <c r="Y6" s="799" t="str">
        <f aca="false">6_Prod_Scios_Intermedios_10!G206</f>
        <v/>
      </c>
      <c r="Z6" s="800" t="str">
        <f aca="false">Y6</f>
        <v/>
      </c>
      <c r="AA6" s="801" t="str">
        <f aca="false">IF(ISERROR($C6*Z6),"",ROUND($C6*Z6,0))</f>
        <v/>
      </c>
      <c r="AB6" s="799" t="str">
        <f aca="false">6_Prod_Scios_Intermedios_10!G234</f>
        <v/>
      </c>
      <c r="AC6" s="800" t="str">
        <f aca="false">AB6</f>
        <v/>
      </c>
      <c r="AD6" s="801" t="str">
        <f aca="false">IF(ISERROR($C6*AC6),"",ROUND($C6*AC6,0))</f>
        <v/>
      </c>
      <c r="AE6" s="799" t="str">
        <f aca="false">6_Prod_Scios_Intermedios_10!G262</f>
        <v/>
      </c>
      <c r="AF6" s="800" t="str">
        <f aca="false">AE6</f>
        <v/>
      </c>
      <c r="AG6" s="801" t="str">
        <f aca="false">IF(ISERROR($C6*AF6),"",ROUND($C6*AF6,0))</f>
        <v/>
      </c>
      <c r="AH6" s="799" t="str">
        <f aca="false">6_Prod_Scios_Intermedios_10!G290</f>
        <v/>
      </c>
      <c r="AI6" s="800" t="str">
        <f aca="false">AH6</f>
        <v/>
      </c>
      <c r="AJ6" s="801" t="str">
        <f aca="false">IF(ISERROR($C6*AI6),"",ROUND($C6*AI6,0))</f>
        <v/>
      </c>
      <c r="AK6" s="799" t="str">
        <f aca="false">6_Prod_Scios_Intermedios_10!G319</f>
        <v/>
      </c>
      <c r="AL6" s="800" t="str">
        <f aca="false">AK6</f>
        <v/>
      </c>
      <c r="AM6" s="801" t="str">
        <f aca="false">IF(ISERROR($C6*AL6),"",ROUND($C6*AL6,0))</f>
        <v/>
      </c>
      <c r="AN6" s="799" t="str">
        <f aca="false">6_Prod_Scios_Intermedios_10!G347</f>
        <v/>
      </c>
      <c r="AO6" s="800" t="str">
        <f aca="false">AN6</f>
        <v/>
      </c>
      <c r="AP6" s="801" t="str">
        <f aca="false">IF(ISERROR($C6*AO6),"",ROUND($C6*AO6,0))</f>
        <v/>
      </c>
      <c r="AQ6" s="799" t="str">
        <f aca="false">6_Prod_Scios_Intermedios_10!G375</f>
        <v/>
      </c>
      <c r="AR6" s="800" t="str">
        <f aca="false">AQ6</f>
        <v/>
      </c>
      <c r="AS6" s="802" t="str">
        <f aca="false">IF(ISERROR($C6*AR6),"",ROUND($C6*AR6,0))</f>
        <v/>
      </c>
    </row>
    <row collapsed="false" customFormat="false" customHeight="false" hidden="false" ht="14" outlineLevel="0" r="7">
      <c r="A7" s="792"/>
      <c r="B7" s="797" t="str">
        <f aca="false">6_Prod_Scios_Intermedios_10!B9</f>
        <v>Consultas de Especializadades Básicas</v>
      </c>
      <c r="C7" s="798" t="n">
        <f aca="false">17_Prog_Produc_2011!G8</f>
        <v>0</v>
      </c>
      <c r="D7" s="799" t="str">
        <f aca="false">6_Prod_Scios_Intermedios_10!G9</f>
        <v/>
      </c>
      <c r="E7" s="800" t="str">
        <f aca="false">D7</f>
        <v/>
      </c>
      <c r="F7" s="801" t="str">
        <f aca="false">IF(ISERROR($C7*E7),"",ROUND($C7*E7,0))</f>
        <v/>
      </c>
      <c r="G7" s="799" t="str">
        <f aca="false">6_Prod_Scios_Intermedios_10!G37</f>
        <v/>
      </c>
      <c r="H7" s="800" t="str">
        <f aca="false">G7</f>
        <v/>
      </c>
      <c r="I7" s="801" t="str">
        <f aca="false">IF(ISERROR($C7*H7),"",ROUND($C7*H7,0))</f>
        <v/>
      </c>
      <c r="J7" s="799" t="str">
        <f aca="false">6_Prod_Scios_Intermedios_10!G65</f>
        <v/>
      </c>
      <c r="K7" s="800" t="str">
        <f aca="false">J7</f>
        <v/>
      </c>
      <c r="L7" s="801" t="str">
        <f aca="false">IF(ISERROR($C7*K7),"",ROUND($C7*K7,0))</f>
        <v/>
      </c>
      <c r="M7" s="799" t="str">
        <f aca="false">6_Prod_Scios_Intermedios_10!G94</f>
        <v/>
      </c>
      <c r="N7" s="800" t="str">
        <f aca="false">M7</f>
        <v/>
      </c>
      <c r="O7" s="801" t="str">
        <f aca="false">IF(ISERROR($C7*N7),"",ROUND($C7*N7,0))</f>
        <v/>
      </c>
      <c r="P7" s="799" t="str">
        <f aca="false">6_Prod_Scios_Intermedios_10!G122</f>
        <v/>
      </c>
      <c r="Q7" s="800" t="str">
        <f aca="false">P7</f>
        <v/>
      </c>
      <c r="R7" s="801" t="str">
        <f aca="false">IF(ISERROR($C7*Q7),"",ROUND($C7*Q7,0))</f>
        <v/>
      </c>
      <c r="S7" s="799" t="str">
        <f aca="false">6_Prod_Scios_Intermedios_10!G150</f>
        <v/>
      </c>
      <c r="T7" s="800" t="str">
        <f aca="false">S7</f>
        <v/>
      </c>
      <c r="U7" s="801" t="str">
        <f aca="false">IF(ISERROR($C7*T7),"",ROUND($C7*T7,0))</f>
        <v/>
      </c>
      <c r="V7" s="799" t="str">
        <f aca="false">6_Prod_Scios_Intermedios_10!G179</f>
        <v/>
      </c>
      <c r="W7" s="800" t="str">
        <f aca="false">V7</f>
        <v/>
      </c>
      <c r="X7" s="801" t="str">
        <f aca="false">IF(ISERROR($C7*W7),"",ROUND($C7*W7,0))</f>
        <v/>
      </c>
      <c r="Y7" s="799" t="str">
        <f aca="false">6_Prod_Scios_Intermedios_10!G207</f>
        <v/>
      </c>
      <c r="Z7" s="800" t="str">
        <f aca="false">Y7</f>
        <v/>
      </c>
      <c r="AA7" s="801" t="str">
        <f aca="false">IF(ISERROR($C7*Z7),"",ROUND($C7*Z7,0))</f>
        <v/>
      </c>
      <c r="AB7" s="799" t="str">
        <f aca="false">6_Prod_Scios_Intermedios_10!G235</f>
        <v/>
      </c>
      <c r="AC7" s="800" t="str">
        <f aca="false">AB7</f>
        <v/>
      </c>
      <c r="AD7" s="801" t="str">
        <f aca="false">IF(ISERROR($C7*AC7),"",ROUND($C7*AC7,0))</f>
        <v/>
      </c>
      <c r="AE7" s="799" t="str">
        <f aca="false">6_Prod_Scios_Intermedios_10!G263</f>
        <v/>
      </c>
      <c r="AF7" s="800" t="str">
        <f aca="false">AE7</f>
        <v/>
      </c>
      <c r="AG7" s="801" t="str">
        <f aca="false">IF(ISERROR($C7*AF7),"",ROUND($C7*AF7,0))</f>
        <v/>
      </c>
      <c r="AH7" s="799" t="str">
        <f aca="false">6_Prod_Scios_Intermedios_10!G291</f>
        <v/>
      </c>
      <c r="AI7" s="800" t="str">
        <f aca="false">AH7</f>
        <v/>
      </c>
      <c r="AJ7" s="801" t="str">
        <f aca="false">IF(ISERROR($C7*AI7),"",ROUND($C7*AI7,0))</f>
        <v/>
      </c>
      <c r="AK7" s="799" t="str">
        <f aca="false">6_Prod_Scios_Intermedios_10!G320</f>
        <v/>
      </c>
      <c r="AL7" s="800" t="str">
        <f aca="false">AK7</f>
        <v/>
      </c>
      <c r="AM7" s="801" t="str">
        <f aca="false">IF(ISERROR($C7*AL7),"",ROUND($C7*AL7,0))</f>
        <v/>
      </c>
      <c r="AN7" s="799" t="str">
        <f aca="false">6_Prod_Scios_Intermedios_10!G348</f>
        <v/>
      </c>
      <c r="AO7" s="800" t="str">
        <f aca="false">AN7</f>
        <v/>
      </c>
      <c r="AP7" s="801" t="str">
        <f aca="false">IF(ISERROR($C7*AO7),"",ROUND($C7*AO7,0))</f>
        <v/>
      </c>
      <c r="AQ7" s="799" t="str">
        <f aca="false">6_Prod_Scios_Intermedios_10!G376</f>
        <v/>
      </c>
      <c r="AR7" s="800" t="str">
        <f aca="false">AQ7</f>
        <v/>
      </c>
      <c r="AS7" s="802" t="str">
        <f aca="false">IF(ISERROR($C7*AR7),"",ROUND($C7*AR7,0))</f>
        <v/>
      </c>
    </row>
    <row collapsed="false" customFormat="false" customHeight="false" hidden="false" ht="14" outlineLevel="0" r="8">
      <c r="A8" s="792"/>
      <c r="B8" s="797" t="str">
        <f aca="false">6_Prod_Scios_Intermedios_10!B10</f>
        <v>Consultas de Sub Especializadades</v>
      </c>
      <c r="C8" s="798" t="n">
        <f aca="false">17_Prog_Produc_2011!G11</f>
        <v>167333</v>
      </c>
      <c r="D8" s="799" t="n">
        <f aca="false">6_Prod_Scios_Intermedios_10!G10</f>
        <v>1.18780479585598</v>
      </c>
      <c r="E8" s="800" t="n">
        <f aca="false">D8</f>
        <v>1.18780479585598</v>
      </c>
      <c r="F8" s="801" t="n">
        <f aca="false">IF(ISERROR($C8*E8),"",ROUND($C8*E8,0))</f>
        <v>198759</v>
      </c>
      <c r="G8" s="799" t="n">
        <f aca="false">6_Prod_Scios_Intermedios_10!G38</f>
        <v>0.010889606732107</v>
      </c>
      <c r="H8" s="800" t="n">
        <f aca="false">G8</f>
        <v>0.010889606732107</v>
      </c>
      <c r="I8" s="801" t="n">
        <f aca="false">IF(ISERROR($C8*H8),"",ROUND($C8*H8,0))</f>
        <v>1822</v>
      </c>
      <c r="J8" s="799" t="n">
        <f aca="false">6_Prod_Scios_Intermedios_10!G66</f>
        <v>0.00451567246450768</v>
      </c>
      <c r="K8" s="800" t="n">
        <f aca="false">J8</f>
        <v>0.00451567246450768</v>
      </c>
      <c r="L8" s="801" t="n">
        <f aca="false">IF(ISERROR($C8*K8),"",ROUND($C8*K8,0))</f>
        <v>756</v>
      </c>
      <c r="M8" s="799" t="n">
        <f aca="false">6_Prod_Scios_Intermedios_10!G95</f>
        <v>0.173896717231286</v>
      </c>
      <c r="N8" s="800" t="n">
        <f aca="false">M8</f>
        <v>0.173896717231286</v>
      </c>
      <c r="O8" s="801" t="n">
        <f aca="false">IF(ISERROR($C8*N8),"",ROUND($C8*N8,0))</f>
        <v>29099</v>
      </c>
      <c r="P8" s="799" t="n">
        <f aca="false">6_Prod_Scios_Intermedios_10!G123</f>
        <v>1</v>
      </c>
      <c r="Q8" s="800" t="n">
        <f aca="false">P8</f>
        <v>1</v>
      </c>
      <c r="R8" s="801" t="n">
        <f aca="false">IF(ISERROR($C8*Q8),"",ROUND($C8*Q8,0))</f>
        <v>167333</v>
      </c>
      <c r="S8" s="799" t="n">
        <f aca="false">6_Prod_Scios_Intermedios_10!G151</f>
        <v>0</v>
      </c>
      <c r="T8" s="800" t="n">
        <f aca="false">S8</f>
        <v>0</v>
      </c>
      <c r="U8" s="801" t="n">
        <f aca="false">IF(ISERROR($C8*T8),"",ROUND($C8*T8,0))</f>
        <v>0</v>
      </c>
      <c r="V8" s="799" t="n">
        <f aca="false">6_Prod_Scios_Intermedios_10!G180</f>
        <v>0</v>
      </c>
      <c r="W8" s="800" t="n">
        <f aca="false">V8</f>
        <v>0</v>
      </c>
      <c r="X8" s="801" t="n">
        <f aca="false">IF(ISERROR($C8*W8),"",ROUND($C8*W8,0))</f>
        <v>0</v>
      </c>
      <c r="Y8" s="799" t="n">
        <f aca="false">6_Prod_Scios_Intermedios_10!G208</f>
        <v>1</v>
      </c>
      <c r="Z8" s="800" t="n">
        <f aca="false">Y8</f>
        <v>1</v>
      </c>
      <c r="AA8" s="801" t="n">
        <f aca="false">IF(ISERROR($C8*Z8),"",ROUND($C8*Z8,0))</f>
        <v>167333</v>
      </c>
      <c r="AB8" s="799" t="n">
        <f aca="false">6_Prod_Scios_Intermedios_10!G236</f>
        <v>0.00795297538525233</v>
      </c>
      <c r="AC8" s="800" t="n">
        <f aca="false">AB8</f>
        <v>0.00795297538525233</v>
      </c>
      <c r="AD8" s="801" t="n">
        <f aca="false">IF(ISERROR($C8*AC8),"",ROUND($C8*AC8,0))</f>
        <v>1331</v>
      </c>
      <c r="AE8" s="799" t="n">
        <f aca="false">6_Prod_Scios_Intermedios_10!G264</f>
        <v>0.0190110773585723</v>
      </c>
      <c r="AF8" s="800" t="n">
        <f aca="false">AE8</f>
        <v>0.0190110773585723</v>
      </c>
      <c r="AG8" s="801" t="n">
        <f aca="false">IF(ISERROR($C8*AF8),"",ROUND($C8*AF8,0))</f>
        <v>3181</v>
      </c>
      <c r="AH8" s="799" t="n">
        <f aca="false">6_Prod_Scios_Intermedios_10!G292</f>
        <v>0.00455177858762475</v>
      </c>
      <c r="AI8" s="800" t="n">
        <f aca="false">AH8</f>
        <v>0.00455177858762475</v>
      </c>
      <c r="AJ8" s="801" t="n">
        <f aca="false">IF(ISERROR($C8*AI8),"",ROUND($C8*AI8,0))</f>
        <v>762</v>
      </c>
      <c r="AK8" s="799" t="n">
        <f aca="false">6_Prod_Scios_Intermedios_10!G321</f>
        <v>0.73906826945759</v>
      </c>
      <c r="AL8" s="800" t="n">
        <f aca="false">AK8</f>
        <v>0.73906826945759</v>
      </c>
      <c r="AM8" s="801" t="n">
        <f aca="false">IF(ISERROR($C8*AL8),"",ROUND($C8*AL8,0))</f>
        <v>123671</v>
      </c>
      <c r="AN8" s="799" t="n">
        <f aca="false">6_Prod_Scios_Intermedios_10!G349</f>
        <v>0.00494894594191247</v>
      </c>
      <c r="AO8" s="800" t="n">
        <f aca="false">AN8</f>
        <v>0.00494894594191247</v>
      </c>
      <c r="AP8" s="801" t="n">
        <f aca="false">IF(ISERROR($C8*AO8),"",ROUND($C8*AO8,0))</f>
        <v>828</v>
      </c>
      <c r="AQ8" s="799" t="n">
        <f aca="false">6_Prod_Scios_Intermedios_10!G377</f>
        <v>0.000168495241212973</v>
      </c>
      <c r="AR8" s="800" t="n">
        <f aca="false">AQ8</f>
        <v>0.000168495241212973</v>
      </c>
      <c r="AS8" s="802" t="n">
        <f aca="false">IF(ISERROR($C8*AR8),"",ROUND($C8*AR8,0))</f>
        <v>28</v>
      </c>
    </row>
    <row collapsed="false" customFormat="false" customHeight="false" hidden="false" ht="20.85" outlineLevel="0" r="9">
      <c r="A9" s="792"/>
      <c r="B9" s="797" t="str">
        <f aca="false">6_Prod_Scios_Intermedios_10!B11</f>
        <v>Consultas de Emergencia de Medicina Interna Pediatrica</v>
      </c>
      <c r="C9" s="798" t="n">
        <f aca="false">17_Prog_Produc_2011!G16</f>
        <v>0</v>
      </c>
      <c r="D9" s="799" t="n">
        <f aca="false">6_Prod_Scios_Intermedios_10!G11</f>
        <v>9.76703386372909</v>
      </c>
      <c r="E9" s="800" t="n">
        <f aca="false">D9</f>
        <v>9.76703386372909</v>
      </c>
      <c r="F9" s="801" t="n">
        <f aca="false">IF(ISERROR($C9*E9),"",ROUND($C9*E9,0))</f>
        <v>0</v>
      </c>
      <c r="G9" s="799" t="n">
        <f aca="false">6_Prod_Scios_Intermedios_10!G39</f>
        <v>0</v>
      </c>
      <c r="H9" s="800" t="n">
        <f aca="false">G9</f>
        <v>0</v>
      </c>
      <c r="I9" s="801" t="n">
        <f aca="false">IF(ISERROR($C9*H9),"",ROUND($C9*H9,0))</f>
        <v>0</v>
      </c>
      <c r="J9" s="799" t="n">
        <f aca="false">6_Prod_Scios_Intermedios_10!G67</f>
        <v>0</v>
      </c>
      <c r="K9" s="800" t="n">
        <f aca="false">J9</f>
        <v>0</v>
      </c>
      <c r="L9" s="801" t="n">
        <f aca="false">IF(ISERROR($C9*K9),"",ROUND($C9*K9,0))</f>
        <v>0</v>
      </c>
      <c r="M9" s="799" t="n">
        <f aca="false">6_Prod_Scios_Intermedios_10!G96</f>
        <v>1.26285189718482</v>
      </c>
      <c r="N9" s="800" t="n">
        <f aca="false">M9</f>
        <v>1.26285189718482</v>
      </c>
      <c r="O9" s="801" t="n">
        <f aca="false">IF(ISERROR($C9*N9),"",ROUND($C9*N9,0))</f>
        <v>0</v>
      </c>
      <c r="P9" s="799" t="n">
        <f aca="false">6_Prod_Scios_Intermedios_10!G124</f>
        <v>0.0570175438596491</v>
      </c>
      <c r="Q9" s="800" t="n">
        <f aca="false">P9</f>
        <v>0.0570175438596491</v>
      </c>
      <c r="R9" s="801" t="n">
        <f aca="false">IF(ISERROR($C9*Q9),"",ROUND($C9*Q9,0))</f>
        <v>0</v>
      </c>
      <c r="S9" s="799" t="n">
        <f aca="false">6_Prod_Scios_Intermedios_10!G152</f>
        <v>0.238984088127295</v>
      </c>
      <c r="T9" s="800" t="n">
        <f aca="false">S9</f>
        <v>0.238984088127295</v>
      </c>
      <c r="U9" s="801" t="n">
        <f aca="false">IF(ISERROR($C9*T9),"",ROUND($C9*T9,0))</f>
        <v>0</v>
      </c>
      <c r="V9" s="799" t="n">
        <f aca="false">6_Prod_Scios_Intermedios_10!G181</f>
        <v>0.191146470828233</v>
      </c>
      <c r="W9" s="800" t="n">
        <f aca="false">V9</f>
        <v>0.191146470828233</v>
      </c>
      <c r="X9" s="801" t="n">
        <f aca="false">IF(ISERROR($C9*W9),"",ROUND($C9*W9,0))</f>
        <v>0</v>
      </c>
      <c r="Y9" s="799" t="n">
        <f aca="false">6_Prod_Scios_Intermedios_10!G209</f>
        <v>0.274071807425541</v>
      </c>
      <c r="Z9" s="800" t="n">
        <f aca="false">Y9</f>
        <v>0.274071807425541</v>
      </c>
      <c r="AA9" s="801" t="n">
        <f aca="false">IF(ISERROR($C9*Z9),"",ROUND($C9*Z9,0))</f>
        <v>0</v>
      </c>
      <c r="AB9" s="799" t="n">
        <f aca="false">6_Prod_Scios_Intermedios_10!G237</f>
        <v>0</v>
      </c>
      <c r="AC9" s="800" t="n">
        <f aca="false">AB9</f>
        <v>0</v>
      </c>
      <c r="AD9" s="801" t="n">
        <f aca="false">IF(ISERROR($C9*AC9),"",ROUND($C9*AC9,0))</f>
        <v>0</v>
      </c>
      <c r="AE9" s="799" t="n">
        <f aca="false">6_Prod_Scios_Intermedios_10!G265</f>
        <v>0</v>
      </c>
      <c r="AF9" s="800" t="n">
        <f aca="false">AE9</f>
        <v>0</v>
      </c>
      <c r="AG9" s="801" t="n">
        <f aca="false">IF(ISERROR($C9*AF9),"",ROUND($C9*AF9,0))</f>
        <v>0</v>
      </c>
      <c r="AH9" s="799" t="n">
        <f aca="false">6_Prod_Scios_Intermedios_10!G293</f>
        <v>0.0514075887392901</v>
      </c>
      <c r="AI9" s="800" t="n">
        <f aca="false">AH9</f>
        <v>0.0514075887392901</v>
      </c>
      <c r="AJ9" s="801" t="n">
        <f aca="false">IF(ISERROR($C9*AI9),"",ROUND($C9*AI9,0))</f>
        <v>0</v>
      </c>
      <c r="AK9" s="799" t="n">
        <f aca="false">6_Prod_Scios_Intermedios_10!G322</f>
        <v>4.29559363525092</v>
      </c>
      <c r="AL9" s="800" t="n">
        <f aca="false">AK9</f>
        <v>4.29559363525092</v>
      </c>
      <c r="AM9" s="801" t="n">
        <f aca="false">IF(ISERROR($C9*AL9),"",ROUND($C9*AL9,0))</f>
        <v>0</v>
      </c>
      <c r="AN9" s="799" t="n">
        <f aca="false">6_Prod_Scios_Intermedios_10!G350</f>
        <v>0.0773153814769482</v>
      </c>
      <c r="AO9" s="800" t="n">
        <f aca="false">AN9</f>
        <v>0.0773153814769482</v>
      </c>
      <c r="AP9" s="801" t="n">
        <f aca="false">IF(ISERROR($C9*AO9),"",ROUND($C9*AO9,0))</f>
        <v>0</v>
      </c>
      <c r="AQ9" s="799" t="n">
        <f aca="false">6_Prod_Scios_Intermedios_10!G378</f>
        <v>0.000101999184006528</v>
      </c>
      <c r="AR9" s="800" t="n">
        <f aca="false">AQ9</f>
        <v>0.000101999184006528</v>
      </c>
      <c r="AS9" s="802" t="n">
        <f aca="false">IF(ISERROR($C9*AR9),"",ROUND($C9*AR9,0))</f>
        <v>0</v>
      </c>
    </row>
    <row collapsed="false" customFormat="false" customHeight="false" hidden="false" ht="20.85" outlineLevel="0" r="10">
      <c r="A10" s="792"/>
      <c r="B10" s="797" t="str">
        <f aca="false">6_Prod_Scios_Intermedios_10!B12</f>
        <v>Consultas de Emergencia de Cirugia General Pediatrica</v>
      </c>
      <c r="C10" s="798" t="n">
        <f aca="false">17_Prog_Produc_2011!G17</f>
        <v>0</v>
      </c>
      <c r="D10" s="799" t="n">
        <f aca="false">6_Prod_Scios_Intermedios_10!G12</f>
        <v>7.11200237670826</v>
      </c>
      <c r="E10" s="800" t="n">
        <f aca="false">D10</f>
        <v>7.11200237670826</v>
      </c>
      <c r="F10" s="801" t="n">
        <f aca="false">IF(ISERROR($C10*E10),"",ROUND($C10*E10,0))</f>
        <v>0</v>
      </c>
      <c r="G10" s="799" t="n">
        <f aca="false">6_Prod_Scios_Intermedios_10!G40</f>
        <v>0</v>
      </c>
      <c r="H10" s="800" t="n">
        <f aca="false">G10</f>
        <v>0</v>
      </c>
      <c r="I10" s="801" t="n">
        <f aca="false">IF(ISERROR($C10*H10),"",ROUND($C10*H10,0))</f>
        <v>0</v>
      </c>
      <c r="J10" s="799" t="n">
        <f aca="false">6_Prod_Scios_Intermedios_10!G68</f>
        <v>0.0643196672608437</v>
      </c>
      <c r="K10" s="800" t="n">
        <f aca="false">J10</f>
        <v>0.0643196672608437</v>
      </c>
      <c r="L10" s="801" t="n">
        <f aca="false">IF(ISERROR($C10*K10),"",ROUND($C10*K10,0))</f>
        <v>0</v>
      </c>
      <c r="M10" s="799" t="n">
        <f aca="false">6_Prod_Scios_Intermedios_10!G97</f>
        <v>0</v>
      </c>
      <c r="N10" s="800" t="n">
        <f aca="false">M10</f>
        <v>0</v>
      </c>
      <c r="O10" s="801" t="n">
        <f aca="false">IF(ISERROR($C10*N10),"",ROUND($C10*N10,0))</f>
        <v>0</v>
      </c>
      <c r="P10" s="799" t="n">
        <f aca="false">6_Prod_Scios_Intermedios_10!G125</f>
        <v>0</v>
      </c>
      <c r="Q10" s="800" t="n">
        <f aca="false">P10</f>
        <v>0</v>
      </c>
      <c r="R10" s="801" t="n">
        <f aca="false">IF(ISERROR($C10*Q10),"",ROUND($C10*Q10,0))</f>
        <v>0</v>
      </c>
      <c r="S10" s="799" t="n">
        <f aca="false">6_Prod_Scios_Intermedios_10!G153</f>
        <v>0.0597147950089127</v>
      </c>
      <c r="T10" s="800" t="n">
        <f aca="false">S10</f>
        <v>0.0597147950089127</v>
      </c>
      <c r="U10" s="801" t="n">
        <f aca="false">IF(ISERROR($C10*T10),"",ROUND($C10*T10,0))</f>
        <v>0</v>
      </c>
      <c r="V10" s="799" t="n">
        <f aca="false">6_Prod_Scios_Intermedios_10!G182</f>
        <v>0.00029708853238265</v>
      </c>
      <c r="W10" s="800" t="n">
        <f aca="false">V10</f>
        <v>0.00029708853238265</v>
      </c>
      <c r="X10" s="801" t="n">
        <f aca="false">IF(ISERROR($C10*W10),"",ROUND($C10*W10,0))</f>
        <v>0</v>
      </c>
      <c r="Y10" s="799" t="n">
        <f aca="false">6_Prod_Scios_Intermedios_10!G210</f>
        <v>0.00207961972667855</v>
      </c>
      <c r="Z10" s="800" t="n">
        <f aca="false">Y10</f>
        <v>0.00207961972667855</v>
      </c>
      <c r="AA10" s="801" t="n">
        <f aca="false">IF(ISERROR($C10*Z10),"",ROUND($C10*Z10,0))</f>
        <v>0</v>
      </c>
      <c r="AB10" s="799" t="n">
        <f aca="false">6_Prod_Scios_Intermedios_10!G238</f>
        <v>0</v>
      </c>
      <c r="AC10" s="800" t="n">
        <f aca="false">AB10</f>
        <v>0</v>
      </c>
      <c r="AD10" s="801" t="n">
        <f aca="false">IF(ISERROR($C10*AC10),"",ROUND($C10*AC10,0))</f>
        <v>0</v>
      </c>
      <c r="AE10" s="799" t="n">
        <f aca="false">6_Prod_Scios_Intermedios_10!G266</f>
        <v>0</v>
      </c>
      <c r="AF10" s="800" t="n">
        <f aca="false">AE10</f>
        <v>0</v>
      </c>
      <c r="AG10" s="801" t="n">
        <f aca="false">IF(ISERROR($C10*AF10),"",ROUND($C10*AF10,0))</f>
        <v>0</v>
      </c>
      <c r="AH10" s="799" t="n">
        <f aca="false">6_Prod_Scios_Intermedios_10!G294</f>
        <v>0</v>
      </c>
      <c r="AI10" s="800" t="n">
        <f aca="false">AH10</f>
        <v>0</v>
      </c>
      <c r="AJ10" s="801" t="n">
        <f aca="false">IF(ISERROR($C10*AI10),"",ROUND($C10*AI10,0))</f>
        <v>0</v>
      </c>
      <c r="AK10" s="799" t="n">
        <f aca="false">6_Prod_Scios_Intermedios_10!G323</f>
        <v>0</v>
      </c>
      <c r="AL10" s="800" t="n">
        <f aca="false">AK10</f>
        <v>0</v>
      </c>
      <c r="AM10" s="801" t="n">
        <f aca="false">IF(ISERROR($C10*AL10),"",ROUND($C10*AL10,0))</f>
        <v>0</v>
      </c>
      <c r="AN10" s="799" t="n">
        <f aca="false">6_Prod_Scios_Intermedios_10!G351</f>
        <v>0</v>
      </c>
      <c r="AO10" s="800" t="n">
        <f aca="false">AN10</f>
        <v>0</v>
      </c>
      <c r="AP10" s="801" t="n">
        <f aca="false">IF(ISERROR($C10*AO10),"",ROUND($C10*AO10,0))</f>
        <v>0</v>
      </c>
      <c r="AQ10" s="799" t="n">
        <f aca="false">6_Prod_Scios_Intermedios_10!G379</f>
        <v>0.00542186571598336</v>
      </c>
      <c r="AR10" s="800" t="n">
        <f aca="false">AQ10</f>
        <v>0.00542186571598336</v>
      </c>
      <c r="AS10" s="802" t="n">
        <f aca="false">IF(ISERROR($C10*AR10),"",ROUND($C10*AR10,0))</f>
        <v>0</v>
      </c>
    </row>
    <row collapsed="false" customFormat="false" customHeight="false" hidden="false" ht="14" outlineLevel="0" r="11">
      <c r="A11" s="792"/>
      <c r="B11" s="797" t="str">
        <f aca="false">6_Prod_Scios_Intermedios_10!B13</f>
        <v>Consulta de Odontologia General</v>
      </c>
      <c r="C11" s="798" t="n">
        <f aca="false">17_Prog_Produc_2011!G19</f>
        <v>11092</v>
      </c>
      <c r="D11" s="799" t="n">
        <f aca="false">6_Prod_Scios_Intermedios_10!G13</f>
        <v>0.00588342330320859</v>
      </c>
      <c r="E11" s="800" t="n">
        <f aca="false">D11</f>
        <v>0.00588342330320859</v>
      </c>
      <c r="F11" s="801" t="n">
        <f aca="false">IF(ISERROR($C11*E11),"",ROUND($C11*E11,0))</f>
        <v>65</v>
      </c>
      <c r="G11" s="799" t="n">
        <f aca="false">6_Prod_Scios_Intermedios_10!G41</f>
        <v>0</v>
      </c>
      <c r="H11" s="800" t="n">
        <f aca="false">G11</f>
        <v>0</v>
      </c>
      <c r="I11" s="801" t="n">
        <f aca="false">IF(ISERROR($C11*H11),"",ROUND($C11*H11,0))</f>
        <v>0</v>
      </c>
      <c r="J11" s="799" t="n">
        <f aca="false">6_Prod_Scios_Intermedios_10!G69</f>
        <v>0</v>
      </c>
      <c r="K11" s="800" t="n">
        <f aca="false">J11</f>
        <v>0</v>
      </c>
      <c r="L11" s="801" t="n">
        <f aca="false">IF(ISERROR($C11*K11),"",ROUND($C11*K11,0))</f>
        <v>0</v>
      </c>
      <c r="M11" s="799" t="n">
        <f aca="false">6_Prod_Scios_Intermedios_10!G98</f>
        <v>0.00630800024261539</v>
      </c>
      <c r="N11" s="800" t="n">
        <f aca="false">M11</f>
        <v>0.00630800024261539</v>
      </c>
      <c r="O11" s="801" t="n">
        <f aca="false">IF(ISERROR($C11*N11),"",ROUND($C11*N11,0))</f>
        <v>70</v>
      </c>
      <c r="P11" s="799" t="n">
        <f aca="false">6_Prod_Scios_Intermedios_10!G126</f>
        <v>0</v>
      </c>
      <c r="Q11" s="800" t="n">
        <f aca="false">P11</f>
        <v>0</v>
      </c>
      <c r="R11" s="801" t="n">
        <f aca="false">IF(ISERROR($C11*Q11),"",ROUND($C11*Q11,0))</f>
        <v>0</v>
      </c>
      <c r="S11" s="799" t="n">
        <f aca="false">6_Prod_Scios_Intermedios_10!G154</f>
        <v>0</v>
      </c>
      <c r="T11" s="800" t="n">
        <f aca="false">S11</f>
        <v>0</v>
      </c>
      <c r="U11" s="801" t="n">
        <f aca="false">IF(ISERROR($C11*T11),"",ROUND($C11*T11,0))</f>
        <v>0</v>
      </c>
      <c r="V11" s="799" t="n">
        <f aca="false">6_Prod_Scios_Intermedios_10!G183</f>
        <v>0</v>
      </c>
      <c r="W11" s="800" t="n">
        <f aca="false">V11</f>
        <v>0</v>
      </c>
      <c r="X11" s="801" t="n">
        <f aca="false">IF(ISERROR($C11*W11),"",ROUND($C11*W11,0))</f>
        <v>0</v>
      </c>
      <c r="Y11" s="799" t="n">
        <f aca="false">6_Prod_Scios_Intermedios_10!G211</f>
        <v>0.000363923090920119</v>
      </c>
      <c r="Z11" s="800" t="n">
        <f aca="false">Y11</f>
        <v>0.000363923090920119</v>
      </c>
      <c r="AA11" s="801" t="n">
        <f aca="false">IF(ISERROR($C11*Z11),"",ROUND($C11*Z11,0))</f>
        <v>4</v>
      </c>
      <c r="AB11" s="799" t="n">
        <f aca="false">6_Prod_Scios_Intermedios_10!G239</f>
        <v>0</v>
      </c>
      <c r="AC11" s="800" t="n">
        <f aca="false">AB11</f>
        <v>0</v>
      </c>
      <c r="AD11" s="801" t="n">
        <f aca="false">IF(ISERROR($C11*AC11),"",ROUND($C11*AC11,0))</f>
        <v>0</v>
      </c>
      <c r="AE11" s="799" t="n">
        <f aca="false">6_Prod_Scios_Intermedios_10!G267</f>
        <v>0</v>
      </c>
      <c r="AF11" s="800" t="n">
        <f aca="false">AE11</f>
        <v>0</v>
      </c>
      <c r="AG11" s="801" t="n">
        <f aca="false">IF(ISERROR($C11*AF11),"",ROUND($C11*AF11,0))</f>
        <v>0</v>
      </c>
      <c r="AH11" s="799" t="n">
        <f aca="false">6_Prod_Scios_Intermedios_10!G295</f>
        <v>0</v>
      </c>
      <c r="AI11" s="800" t="n">
        <f aca="false">AH11</f>
        <v>0</v>
      </c>
      <c r="AJ11" s="801" t="n">
        <f aca="false">IF(ISERROR($C11*AI11),"",ROUND($C11*AI11,0))</f>
        <v>0</v>
      </c>
      <c r="AK11" s="799" t="n">
        <f aca="false">6_Prod_Scios_Intermedios_10!G324</f>
        <v>0.0696912719112028</v>
      </c>
      <c r="AL11" s="800" t="n">
        <f aca="false">AK11</f>
        <v>0.0696912719112028</v>
      </c>
      <c r="AM11" s="801" t="n">
        <f aca="false">IF(ISERROR($C11*AL11),"",ROUND($C11*AL11,0))</f>
        <v>773</v>
      </c>
      <c r="AN11" s="799" t="n">
        <f aca="false">6_Prod_Scios_Intermedios_10!G352</f>
        <v>0</v>
      </c>
      <c r="AO11" s="800" t="n">
        <f aca="false">AN11</f>
        <v>0</v>
      </c>
      <c r="AP11" s="801" t="n">
        <f aca="false">IF(ISERROR($C11*AO11),"",ROUND($C11*AO11,0))</f>
        <v>0</v>
      </c>
      <c r="AQ11" s="799" t="n">
        <f aca="false">6_Prod_Scios_Intermedios_10!G380</f>
        <v>0.10268696548796</v>
      </c>
      <c r="AR11" s="800" t="n">
        <f aca="false">AQ11</f>
        <v>0.10268696548796</v>
      </c>
      <c r="AS11" s="802" t="n">
        <f aca="false">IF(ISERROR($C11*AR11),"",ROUND($C11*AR11,0))</f>
        <v>1139</v>
      </c>
    </row>
    <row collapsed="false" customFormat="false" customHeight="false" hidden="false" ht="14" outlineLevel="0" r="12">
      <c r="A12" s="792"/>
      <c r="B12" s="797" t="str">
        <f aca="false">6_Prod_Scios_Intermedios_10!B14</f>
        <v>Consulta de Ortodoncia</v>
      </c>
      <c r="C12" s="798" t="n">
        <f aca="false">17_Prog_Produc_2011!G20</f>
        <v>2416</v>
      </c>
      <c r="D12" s="799" t="n">
        <f aca="false">6_Prod_Scios_Intermedios_10!G14</f>
        <v>0.0151650312221231</v>
      </c>
      <c r="E12" s="800" t="n">
        <f aca="false">D12</f>
        <v>0.0151650312221231</v>
      </c>
      <c r="F12" s="801" t="n">
        <f aca="false">IF(ISERROR($C12*E12),"",ROUND($C12*E12,0))</f>
        <v>37</v>
      </c>
      <c r="G12" s="799" t="n">
        <f aca="false">6_Prod_Scios_Intermedios_10!G42</f>
        <v>0</v>
      </c>
      <c r="H12" s="800" t="n">
        <f aca="false">G12</f>
        <v>0</v>
      </c>
      <c r="I12" s="801" t="n">
        <f aca="false">IF(ISERROR($C12*H12),"",ROUND($C12*H12,0))</f>
        <v>0</v>
      </c>
      <c r="J12" s="799" t="n">
        <f aca="false">6_Prod_Scios_Intermedios_10!G70</f>
        <v>0</v>
      </c>
      <c r="K12" s="800" t="n">
        <f aca="false">J12</f>
        <v>0</v>
      </c>
      <c r="L12" s="801" t="n">
        <f aca="false">IF(ISERROR($C12*K12),"",ROUND($C12*K12,0))</f>
        <v>0</v>
      </c>
      <c r="M12" s="799" t="n">
        <f aca="false">6_Prod_Scios_Intermedios_10!G99</f>
        <v>0.0410347903657449</v>
      </c>
      <c r="N12" s="800" t="n">
        <f aca="false">M12</f>
        <v>0.0410347903657449</v>
      </c>
      <c r="O12" s="801" t="n">
        <f aca="false">IF(ISERROR($C12*N12),"",ROUND($C12*N12,0))</f>
        <v>99</v>
      </c>
      <c r="P12" s="799" t="n">
        <f aca="false">6_Prod_Scios_Intermedios_10!G127</f>
        <v>0.000892060660124889</v>
      </c>
      <c r="Q12" s="800" t="n">
        <f aca="false">P12</f>
        <v>0.000892060660124889</v>
      </c>
      <c r="R12" s="801" t="n">
        <f aca="false">IF(ISERROR($C12*Q12),"",ROUND($C12*Q12,0))</f>
        <v>2</v>
      </c>
      <c r="S12" s="799" t="n">
        <f aca="false">6_Prod_Scios_Intermedios_10!G155</f>
        <v>0</v>
      </c>
      <c r="T12" s="800" t="n">
        <f aca="false">S12</f>
        <v>0</v>
      </c>
      <c r="U12" s="801" t="n">
        <f aca="false">IF(ISERROR($C12*T12),"",ROUND($C12*T12,0))</f>
        <v>0</v>
      </c>
      <c r="V12" s="799" t="n">
        <f aca="false">6_Prod_Scios_Intermedios_10!G184</f>
        <v>0</v>
      </c>
      <c r="W12" s="800" t="n">
        <f aca="false">V12</f>
        <v>0</v>
      </c>
      <c r="X12" s="801" t="n">
        <f aca="false">IF(ISERROR($C12*W12),"",ROUND($C12*W12,0))</f>
        <v>0</v>
      </c>
      <c r="Y12" s="799" t="n">
        <f aca="false">6_Prod_Scios_Intermedios_10!G212</f>
        <v>0</v>
      </c>
      <c r="Z12" s="800" t="n">
        <f aca="false">Y12</f>
        <v>0</v>
      </c>
      <c r="AA12" s="801" t="n">
        <f aca="false">IF(ISERROR($C12*Z12),"",ROUND($C12*Z12,0))</f>
        <v>0</v>
      </c>
      <c r="AB12" s="799" t="n">
        <f aca="false">6_Prod_Scios_Intermedios_10!G240</f>
        <v>0</v>
      </c>
      <c r="AC12" s="800" t="n">
        <f aca="false">AB12</f>
        <v>0</v>
      </c>
      <c r="AD12" s="801" t="n">
        <f aca="false">IF(ISERROR($C12*AC12),"",ROUND($C12*AC12,0))</f>
        <v>0</v>
      </c>
      <c r="AE12" s="799" t="n">
        <f aca="false">6_Prod_Scios_Intermedios_10!G268</f>
        <v>0</v>
      </c>
      <c r="AF12" s="800" t="n">
        <f aca="false">AE12</f>
        <v>0</v>
      </c>
      <c r="AG12" s="801" t="n">
        <f aca="false">IF(ISERROR($C12*AF12),"",ROUND($C12*AF12,0))</f>
        <v>0</v>
      </c>
      <c r="AH12" s="799" t="n">
        <f aca="false">6_Prod_Scios_Intermedios_10!G296</f>
        <v>0</v>
      </c>
      <c r="AI12" s="800" t="n">
        <f aca="false">AH12</f>
        <v>0</v>
      </c>
      <c r="AJ12" s="801" t="n">
        <f aca="false">IF(ISERROR($C12*AI12),"",ROUND($C12*AI12,0))</f>
        <v>0</v>
      </c>
      <c r="AK12" s="799" t="n">
        <f aca="false">6_Prod_Scios_Intermedios_10!G325</f>
        <v>0.0214094558429973</v>
      </c>
      <c r="AL12" s="800" t="n">
        <f aca="false">AK12</f>
        <v>0.0214094558429973</v>
      </c>
      <c r="AM12" s="801" t="n">
        <f aca="false">IF(ISERROR($C12*AL12),"",ROUND($C12*AL12,0))</f>
        <v>52</v>
      </c>
      <c r="AN12" s="799" t="n">
        <f aca="false">6_Prod_Scios_Intermedios_10!G353</f>
        <v>0</v>
      </c>
      <c r="AO12" s="800" t="n">
        <f aca="false">AN12</f>
        <v>0</v>
      </c>
      <c r="AP12" s="801" t="n">
        <f aca="false">IF(ISERROR($C12*AO12),"",ROUND($C12*AO12,0))</f>
        <v>0</v>
      </c>
      <c r="AQ12" s="799" t="n">
        <f aca="false">6_Prod_Scios_Intermedios_10!G381</f>
        <v>0</v>
      </c>
      <c r="AR12" s="800" t="n">
        <f aca="false">AQ12</f>
        <v>0</v>
      </c>
      <c r="AS12" s="802" t="n">
        <f aca="false">IF(ISERROR($C12*AR12),"",ROUND($C12*AR12,0))</f>
        <v>0</v>
      </c>
    </row>
    <row collapsed="false" customFormat="false" customHeight="false" hidden="false" ht="14" outlineLevel="0" r="13">
      <c r="A13" s="792"/>
      <c r="B13" s="793" t="str">
        <f aca="false">6_Prod_Scios_Intermedios_10!B15</f>
        <v>Servicios Hospitalarios </v>
      </c>
      <c r="C13" s="803"/>
      <c r="D13" s="803"/>
      <c r="E13" s="803"/>
      <c r="F13" s="804"/>
      <c r="G13" s="803"/>
      <c r="H13" s="803"/>
      <c r="I13" s="804"/>
      <c r="J13" s="803"/>
      <c r="K13" s="803"/>
      <c r="L13" s="804"/>
      <c r="M13" s="803"/>
      <c r="N13" s="803"/>
      <c r="O13" s="804"/>
      <c r="P13" s="803"/>
      <c r="Q13" s="803"/>
      <c r="R13" s="804"/>
      <c r="S13" s="803"/>
      <c r="T13" s="803"/>
      <c r="U13" s="804"/>
      <c r="V13" s="803"/>
      <c r="W13" s="803"/>
      <c r="X13" s="804"/>
      <c r="Y13" s="803"/>
      <c r="Z13" s="803"/>
      <c r="AA13" s="804"/>
      <c r="AB13" s="803"/>
      <c r="AC13" s="803"/>
      <c r="AD13" s="804"/>
      <c r="AE13" s="803"/>
      <c r="AF13" s="803"/>
      <c r="AG13" s="804"/>
      <c r="AH13" s="803"/>
      <c r="AI13" s="803"/>
      <c r="AJ13" s="804"/>
      <c r="AK13" s="803"/>
      <c r="AL13" s="803"/>
      <c r="AM13" s="804"/>
      <c r="AN13" s="803"/>
      <c r="AO13" s="803"/>
      <c r="AP13" s="804"/>
      <c r="AQ13" s="803"/>
      <c r="AR13" s="803"/>
      <c r="AS13" s="805"/>
    </row>
    <row collapsed="false" customFormat="false" customHeight="false" hidden="false" ht="14" outlineLevel="0" r="14">
      <c r="A14" s="792"/>
      <c r="B14" s="806" t="str">
        <f aca="false">6_Prod_Scios_Intermedios_10!B16</f>
        <v>Egresos</v>
      </c>
      <c r="C14" s="807"/>
      <c r="D14" s="807"/>
      <c r="E14" s="808"/>
      <c r="F14" s="809"/>
      <c r="G14" s="807"/>
      <c r="H14" s="808"/>
      <c r="I14" s="809"/>
      <c r="J14" s="807"/>
      <c r="K14" s="808"/>
      <c r="L14" s="809"/>
      <c r="M14" s="807"/>
      <c r="N14" s="808"/>
      <c r="O14" s="809"/>
      <c r="P14" s="807"/>
      <c r="Q14" s="808"/>
      <c r="R14" s="809"/>
      <c r="S14" s="807"/>
      <c r="T14" s="808"/>
      <c r="U14" s="809"/>
      <c r="V14" s="807"/>
      <c r="W14" s="808"/>
      <c r="X14" s="809"/>
      <c r="Y14" s="807"/>
      <c r="Z14" s="808"/>
      <c r="AA14" s="809"/>
      <c r="AB14" s="807"/>
      <c r="AC14" s="808"/>
      <c r="AD14" s="809"/>
      <c r="AE14" s="807"/>
      <c r="AF14" s="808"/>
      <c r="AG14" s="809"/>
      <c r="AH14" s="807"/>
      <c r="AI14" s="808"/>
      <c r="AJ14" s="809"/>
      <c r="AK14" s="807"/>
      <c r="AL14" s="808"/>
      <c r="AM14" s="809"/>
      <c r="AN14" s="807"/>
      <c r="AO14" s="808"/>
      <c r="AP14" s="809"/>
      <c r="AQ14" s="807"/>
      <c r="AR14" s="808"/>
      <c r="AS14" s="810"/>
    </row>
    <row collapsed="false" customFormat="false" customHeight="false" hidden="false" ht="14" outlineLevel="0" r="15">
      <c r="A15" s="792"/>
      <c r="B15" s="797" t="str">
        <f aca="false">6_Prod_Scios_Intermedios_10!B17</f>
        <v>Medicina Interna </v>
      </c>
      <c r="C15" s="798" t="n">
        <f aca="false">17_Prog_Produc_2011!G34</f>
        <v>1131</v>
      </c>
      <c r="D15" s="799" t="n">
        <f aca="false">6_Prod_Scios_Intermedios_10!G17</f>
        <v>23.870705244123</v>
      </c>
      <c r="E15" s="800" t="n">
        <f aca="false">D15</f>
        <v>23.870705244123</v>
      </c>
      <c r="F15" s="801" t="n">
        <f aca="false">IF(ISERROR($C15*E15),"",ROUND($C15*E15,0))</f>
        <v>26998</v>
      </c>
      <c r="G15" s="799" t="n">
        <f aca="false">6_Prod_Scios_Intermedios_10!G45</f>
        <v>0.00723327305605787</v>
      </c>
      <c r="H15" s="800" t="n">
        <f aca="false">G15</f>
        <v>0.00723327305605787</v>
      </c>
      <c r="I15" s="801" t="n">
        <f aca="false">IF(ISERROR($C15*H15),"",ROUND($C15*H15,0))</f>
        <v>8</v>
      </c>
      <c r="J15" s="799" t="n">
        <f aca="false">6_Prod_Scios_Intermedios_10!G73</f>
        <v>1.0244122965642</v>
      </c>
      <c r="K15" s="800" t="n">
        <f aca="false">J15</f>
        <v>1.0244122965642</v>
      </c>
      <c r="L15" s="801" t="n">
        <f aca="false">IF(ISERROR($C15*K15),"",ROUND($C15*K15,0))</f>
        <v>1159</v>
      </c>
      <c r="M15" s="799" t="n">
        <f aca="false">6_Prod_Scios_Intermedios_10!G102</f>
        <v>0.62748643761302</v>
      </c>
      <c r="N15" s="800" t="n">
        <f aca="false">M15</f>
        <v>0.62748643761302</v>
      </c>
      <c r="O15" s="801" t="n">
        <f aca="false">IF(ISERROR($C15*N15),"",ROUND($C15*N15,0))</f>
        <v>710</v>
      </c>
      <c r="P15" s="799" t="n">
        <f aca="false">6_Prod_Scios_Intermedios_10!G130</f>
        <v>0.192585895117541</v>
      </c>
      <c r="Q15" s="800" t="n">
        <f aca="false">P15</f>
        <v>0.192585895117541</v>
      </c>
      <c r="R15" s="801" t="n">
        <f aca="false">IF(ISERROR($C15*Q15),"",ROUND($C15*Q15,0))</f>
        <v>218</v>
      </c>
      <c r="S15" s="799" t="n">
        <f aca="false">6_Prod_Scios_Intermedios_10!G158</f>
        <v>0.150994575045208</v>
      </c>
      <c r="T15" s="800" t="n">
        <f aca="false">S15</f>
        <v>0.150994575045208</v>
      </c>
      <c r="U15" s="801" t="n">
        <f aca="false">IF(ISERROR($C15*T15),"",ROUND($C15*T15,0))</f>
        <v>171</v>
      </c>
      <c r="V15" s="799" t="n">
        <f aca="false">6_Prod_Scios_Intermedios_10!G187</f>
        <v>0.096745027124774</v>
      </c>
      <c r="W15" s="800" t="n">
        <f aca="false">V15</f>
        <v>0.096745027124774</v>
      </c>
      <c r="X15" s="801" t="n">
        <f aca="false">IF(ISERROR($C15*W15),"",ROUND($C15*W15,0))</f>
        <v>109</v>
      </c>
      <c r="Y15" s="799" t="n">
        <f aca="false">6_Prod_Scios_Intermedios_10!G215</f>
        <v>0.122061482820976</v>
      </c>
      <c r="Z15" s="800" t="n">
        <f aca="false">Y15</f>
        <v>0.122061482820976</v>
      </c>
      <c r="AA15" s="801" t="n">
        <f aca="false">IF(ISERROR($C15*Z15),"",ROUND($C15*Z15,0))</f>
        <v>138</v>
      </c>
      <c r="AB15" s="799" t="n">
        <f aca="false">6_Prod_Scios_Intermedios_10!G243</f>
        <v>0</v>
      </c>
      <c r="AC15" s="800" t="n">
        <f aca="false">AB15</f>
        <v>0</v>
      </c>
      <c r="AD15" s="801" t="n">
        <f aca="false">IF(ISERROR($C15*AC15),"",ROUND($C15*AC15,0))</f>
        <v>0</v>
      </c>
      <c r="AE15" s="799" t="n">
        <f aca="false">6_Prod_Scios_Intermedios_10!G271</f>
        <v>0</v>
      </c>
      <c r="AF15" s="800" t="n">
        <f aca="false">AE15</f>
        <v>0</v>
      </c>
      <c r="AG15" s="801" t="n">
        <f aca="false">IF(ISERROR($C15*AF15),"",ROUND($C15*AF15,0))</f>
        <v>0</v>
      </c>
      <c r="AH15" s="799" t="n">
        <f aca="false">6_Prod_Scios_Intermedios_10!G299</f>
        <v>0.0840867992766727</v>
      </c>
      <c r="AI15" s="800" t="n">
        <f aca="false">AH15</f>
        <v>0.0840867992766727</v>
      </c>
      <c r="AJ15" s="801" t="n">
        <f aca="false">IF(ISERROR($C15*AI15),"",ROUND($C15*AI15,0))</f>
        <v>95</v>
      </c>
      <c r="AK15" s="799" t="n">
        <f aca="false">6_Prod_Scios_Intermedios_10!G328</f>
        <v>23.0732368896926</v>
      </c>
      <c r="AL15" s="800" t="n">
        <f aca="false">AK15</f>
        <v>23.0732368896926</v>
      </c>
      <c r="AM15" s="801" t="n">
        <f aca="false">IF(ISERROR($C15*AL15),"",ROUND($C15*AL15,0))</f>
        <v>26096</v>
      </c>
      <c r="AN15" s="799" t="n">
        <f aca="false">6_Prod_Scios_Intermedios_10!G356</f>
        <v>0.445750452079566</v>
      </c>
      <c r="AO15" s="800" t="n">
        <f aca="false">AN15</f>
        <v>0.445750452079566</v>
      </c>
      <c r="AP15" s="801" t="n">
        <f aca="false">IF(ISERROR($C15*AO15),"",ROUND($C15*AO15,0))</f>
        <v>504</v>
      </c>
      <c r="AQ15" s="799" t="n">
        <f aca="false">6_Prod_Scios_Intermedios_10!G384</f>
        <v>1</v>
      </c>
      <c r="AR15" s="800" t="n">
        <f aca="false">AQ15</f>
        <v>1</v>
      </c>
      <c r="AS15" s="802" t="n">
        <f aca="false">IF(ISERROR($C15*AR15),"",ROUND($C15*AR15,0))</f>
        <v>1131</v>
      </c>
    </row>
    <row collapsed="false" customFormat="false" customHeight="false" hidden="false" ht="14" outlineLevel="0" r="16">
      <c r="A16" s="792"/>
      <c r="B16" s="797" t="str">
        <f aca="false">6_Prod_Scios_Intermedios_10!B18</f>
        <v>Infectología</v>
      </c>
      <c r="C16" s="798" t="n">
        <f aca="false">17_Prog_Produc_2011!G35</f>
        <v>2738</v>
      </c>
      <c r="D16" s="799" t="n">
        <f aca="false">6_Prod_Scios_Intermedios_10!G18</f>
        <v>19.7804557405784</v>
      </c>
      <c r="E16" s="800" t="n">
        <f aca="false">D16</f>
        <v>19.7804557405784</v>
      </c>
      <c r="F16" s="801" t="n">
        <f aca="false">IF(ISERROR($C16*E16),"",ROUND($C16*E16,0))</f>
        <v>54159</v>
      </c>
      <c r="G16" s="799" t="n">
        <f aca="false">6_Prod_Scios_Intermedios_10!G46</f>
        <v>0.00219106047326906</v>
      </c>
      <c r="H16" s="800" t="n">
        <f aca="false">G16</f>
        <v>0.00219106047326906</v>
      </c>
      <c r="I16" s="801" t="n">
        <f aca="false">IF(ISERROR($C16*H16),"",ROUND($C16*H16,0))</f>
        <v>6</v>
      </c>
      <c r="J16" s="799" t="n">
        <f aca="false">6_Prod_Scios_Intermedios_10!G74</f>
        <v>0.8045574057844</v>
      </c>
      <c r="K16" s="800" t="n">
        <f aca="false">J16</f>
        <v>0.8045574057844</v>
      </c>
      <c r="L16" s="801" t="n">
        <f aca="false">IF(ISERROR($C16*K16),"",ROUND($C16*K16,0))</f>
        <v>2203</v>
      </c>
      <c r="M16" s="799" t="n">
        <f aca="false">6_Prod_Scios_Intermedios_10!G103</f>
        <v>0.639789658194566</v>
      </c>
      <c r="N16" s="800" t="n">
        <f aca="false">M16</f>
        <v>0.639789658194566</v>
      </c>
      <c r="O16" s="801" t="n">
        <f aca="false">IF(ISERROR($C16*N16),"",ROUND($C16*N16,0))</f>
        <v>1752</v>
      </c>
      <c r="P16" s="799" t="n">
        <f aca="false">6_Prod_Scios_Intermedios_10!G131</f>
        <v>0.171340929009641</v>
      </c>
      <c r="Q16" s="800" t="n">
        <f aca="false">P16</f>
        <v>0.171340929009641</v>
      </c>
      <c r="R16" s="801" t="n">
        <f aca="false">IF(ISERROR($C16*Q16),"",ROUND($C16*Q16,0))</f>
        <v>469</v>
      </c>
      <c r="S16" s="799" t="n">
        <f aca="false">6_Prod_Scios_Intermedios_10!G159</f>
        <v>0.0810692375109553</v>
      </c>
      <c r="T16" s="800" t="n">
        <f aca="false">S16</f>
        <v>0.0810692375109553</v>
      </c>
      <c r="U16" s="801" t="n">
        <f aca="false">IF(ISERROR($C16*T16),"",ROUND($C16*T16,0))</f>
        <v>222</v>
      </c>
      <c r="V16" s="799" t="n">
        <f aca="false">6_Prod_Scios_Intermedios_10!G188</f>
        <v>0.0227870289219982</v>
      </c>
      <c r="W16" s="800" t="n">
        <f aca="false">V16</f>
        <v>0.0227870289219982</v>
      </c>
      <c r="X16" s="801" t="n">
        <f aca="false">IF(ISERROR($C16*W16),"",ROUND($C16*W16,0))</f>
        <v>62</v>
      </c>
      <c r="Y16" s="799" t="n">
        <f aca="false">6_Prod_Scios_Intermedios_10!G216</f>
        <v>0.0455740578439965</v>
      </c>
      <c r="Z16" s="800" t="n">
        <f aca="false">Y16</f>
        <v>0.0455740578439965</v>
      </c>
      <c r="AA16" s="801" t="n">
        <f aca="false">IF(ISERROR($C16*Z16),"",ROUND($C16*Z16,0))</f>
        <v>125</v>
      </c>
      <c r="AB16" s="799" t="n">
        <f aca="false">6_Prod_Scios_Intermedios_10!G244</f>
        <v>0</v>
      </c>
      <c r="AC16" s="800" t="n">
        <f aca="false">AB16</f>
        <v>0</v>
      </c>
      <c r="AD16" s="801" t="n">
        <f aca="false">IF(ISERROR($C16*AC16),"",ROUND($C16*AC16,0))</f>
        <v>0</v>
      </c>
      <c r="AE16" s="799" t="n">
        <f aca="false">6_Prod_Scios_Intermedios_10!G272</f>
        <v>0</v>
      </c>
      <c r="AF16" s="800" t="n">
        <f aca="false">AE16</f>
        <v>0</v>
      </c>
      <c r="AG16" s="801" t="n">
        <f aca="false">IF(ISERROR($C16*AF16),"",ROUND($C16*AF16,0))</f>
        <v>0</v>
      </c>
      <c r="AH16" s="799" t="n">
        <f aca="false">6_Prod_Scios_Intermedios_10!G300</f>
        <v>0.0460122699386503</v>
      </c>
      <c r="AI16" s="800" t="n">
        <f aca="false">AH16</f>
        <v>0.0460122699386503</v>
      </c>
      <c r="AJ16" s="801" t="n">
        <f aca="false">IF(ISERROR($C16*AI16),"",ROUND($C16*AI16,0))</f>
        <v>126</v>
      </c>
      <c r="AK16" s="799" t="n">
        <f aca="false">6_Prod_Scios_Intermedios_10!G329</f>
        <v>17.6235758106924</v>
      </c>
      <c r="AL16" s="800" t="n">
        <f aca="false">AK16</f>
        <v>17.6235758106924</v>
      </c>
      <c r="AM16" s="801" t="n">
        <f aca="false">IF(ISERROR($C16*AL16),"",ROUND($C16*AL16,0))</f>
        <v>48253</v>
      </c>
      <c r="AN16" s="799" t="n">
        <f aca="false">6_Prod_Scios_Intermedios_10!G357</f>
        <v>0.221735319894829</v>
      </c>
      <c r="AO16" s="800" t="n">
        <f aca="false">AN16</f>
        <v>0.221735319894829</v>
      </c>
      <c r="AP16" s="801" t="n">
        <f aca="false">IF(ISERROR($C16*AO16),"",ROUND($C16*AO16,0))</f>
        <v>607</v>
      </c>
      <c r="AQ16" s="799" t="n">
        <f aca="false">6_Prod_Scios_Intermedios_10!G385</f>
        <v>1</v>
      </c>
      <c r="AR16" s="800" t="n">
        <f aca="false">AQ16</f>
        <v>1</v>
      </c>
      <c r="AS16" s="802" t="n">
        <f aca="false">IF(ISERROR($C16*AR16),"",ROUND($C16*AR16,0))</f>
        <v>2738</v>
      </c>
    </row>
    <row collapsed="false" customFormat="false" customHeight="false" hidden="false" ht="14" outlineLevel="0" r="17">
      <c r="A17" s="792"/>
      <c r="B17" s="797" t="str">
        <f aca="false">6_Prod_Scios_Intermedios_10!B19</f>
        <v>Nefrología</v>
      </c>
      <c r="C17" s="798" t="n">
        <f aca="false">17_Prog_Produc_2011!G36</f>
        <v>315</v>
      </c>
      <c r="D17" s="799" t="n">
        <f aca="false">6_Prod_Scios_Intermedios_10!G19</f>
        <v>101.987616099071</v>
      </c>
      <c r="E17" s="800" t="n">
        <f aca="false">D17</f>
        <v>101.987616099071</v>
      </c>
      <c r="F17" s="801" t="n">
        <f aca="false">IF(ISERROR($C17*E17),"",ROUND($C17*E17,0))</f>
        <v>32126</v>
      </c>
      <c r="G17" s="799" t="n">
        <f aca="false">6_Prod_Scios_Intermedios_10!G47</f>
        <v>0</v>
      </c>
      <c r="H17" s="800" t="n">
        <f aca="false">G17</f>
        <v>0</v>
      </c>
      <c r="I17" s="801" t="n">
        <f aca="false">IF(ISERROR($C17*H17),"",ROUND($C17*H17,0))</f>
        <v>0</v>
      </c>
      <c r="J17" s="799" t="n">
        <f aca="false">6_Prod_Scios_Intermedios_10!G75</f>
        <v>0.687306501547988</v>
      </c>
      <c r="K17" s="800" t="n">
        <f aca="false">J17</f>
        <v>0.687306501547988</v>
      </c>
      <c r="L17" s="801" t="n">
        <f aca="false">IF(ISERROR($C17*K17),"",ROUND($C17*K17,0))</f>
        <v>217</v>
      </c>
      <c r="M17" s="799" t="n">
        <f aca="false">6_Prod_Scios_Intermedios_10!G104</f>
        <v>0.712074303405573</v>
      </c>
      <c r="N17" s="800" t="n">
        <f aca="false">M17</f>
        <v>0.712074303405573</v>
      </c>
      <c r="O17" s="801" t="n">
        <f aca="false">IF(ISERROR($C17*N17),"",ROUND($C17*N17,0))</f>
        <v>224</v>
      </c>
      <c r="P17" s="799" t="n">
        <f aca="false">6_Prod_Scios_Intermedios_10!G132</f>
        <v>0.294117647058823</v>
      </c>
      <c r="Q17" s="800" t="n">
        <f aca="false">P17</f>
        <v>0.294117647058823</v>
      </c>
      <c r="R17" s="801" t="n">
        <f aca="false">IF(ISERROR($C17*Q17),"",ROUND($C17*Q17,0))</f>
        <v>93</v>
      </c>
      <c r="S17" s="799" t="n">
        <f aca="false">6_Prod_Scios_Intermedios_10!G160</f>
        <v>0.0185758513931889</v>
      </c>
      <c r="T17" s="800" t="n">
        <f aca="false">S17</f>
        <v>0.0185758513931889</v>
      </c>
      <c r="U17" s="801" t="n">
        <f aca="false">IF(ISERROR($C17*T17),"",ROUND($C17*T17,0))</f>
        <v>6</v>
      </c>
      <c r="V17" s="799" t="n">
        <f aca="false">6_Prod_Scios_Intermedios_10!G189</f>
        <v>0.021671826625387</v>
      </c>
      <c r="W17" s="800" t="n">
        <f aca="false">V17</f>
        <v>0.021671826625387</v>
      </c>
      <c r="X17" s="801" t="n">
        <f aca="false">IF(ISERROR($C17*W17),"",ROUND($C17*W17,0))</f>
        <v>7</v>
      </c>
      <c r="Y17" s="799" t="n">
        <f aca="false">6_Prod_Scios_Intermedios_10!G217</f>
        <v>0.0526315789473684</v>
      </c>
      <c r="Z17" s="800" t="n">
        <f aca="false">Y17</f>
        <v>0.0526315789473684</v>
      </c>
      <c r="AA17" s="801" t="n">
        <f aca="false">IF(ISERROR($C17*Z17),"",ROUND($C17*Z17,0))</f>
        <v>17</v>
      </c>
      <c r="AB17" s="799" t="n">
        <f aca="false">6_Prod_Scios_Intermedios_10!G245</f>
        <v>0</v>
      </c>
      <c r="AC17" s="800" t="n">
        <f aca="false">AB17</f>
        <v>0</v>
      </c>
      <c r="AD17" s="801" t="n">
        <f aca="false">IF(ISERROR($C17*AC17),"",ROUND($C17*AC17,0))</f>
        <v>0</v>
      </c>
      <c r="AE17" s="799" t="n">
        <f aca="false">6_Prod_Scios_Intermedios_10!G273</f>
        <v>0</v>
      </c>
      <c r="AF17" s="800" t="n">
        <f aca="false">AE17</f>
        <v>0</v>
      </c>
      <c r="AG17" s="801" t="n">
        <f aca="false">IF(ISERROR($C17*AF17),"",ROUND($C17*AF17,0))</f>
        <v>0</v>
      </c>
      <c r="AH17" s="799" t="n">
        <f aca="false">6_Prod_Scios_Intermedios_10!G301</f>
        <v>0.108359133126935</v>
      </c>
      <c r="AI17" s="800" t="n">
        <f aca="false">AH17</f>
        <v>0.108359133126935</v>
      </c>
      <c r="AJ17" s="801" t="n">
        <f aca="false">IF(ISERROR($C17*AI17),"",ROUND($C17*AI17,0))</f>
        <v>34</v>
      </c>
      <c r="AK17" s="799" t="n">
        <f aca="false">6_Prod_Scios_Intermedios_10!G330</f>
        <v>58.0371517027864</v>
      </c>
      <c r="AL17" s="800" t="n">
        <f aca="false">AK17</f>
        <v>58.0371517027864</v>
      </c>
      <c r="AM17" s="801" t="n">
        <f aca="false">IF(ISERROR($C17*AL17),"",ROUND($C17*AL17,0))</f>
        <v>18282</v>
      </c>
      <c r="AN17" s="799" t="n">
        <f aca="false">6_Prod_Scios_Intermedios_10!G358</f>
        <v>0.947368421052632</v>
      </c>
      <c r="AO17" s="800" t="n">
        <f aca="false">AN17</f>
        <v>0.947368421052632</v>
      </c>
      <c r="AP17" s="801" t="n">
        <f aca="false">IF(ISERROR($C17*AO17),"",ROUND($C17*AO17,0))</f>
        <v>298</v>
      </c>
      <c r="AQ17" s="799" t="n">
        <f aca="false">6_Prod_Scios_Intermedios_10!G386</f>
        <v>1</v>
      </c>
      <c r="AR17" s="800" t="n">
        <f aca="false">AQ17</f>
        <v>1</v>
      </c>
      <c r="AS17" s="802" t="n">
        <f aca="false">IF(ISERROR($C17*AR17),"",ROUND($C17*AR17,0))</f>
        <v>315</v>
      </c>
    </row>
    <row collapsed="false" customFormat="false" customHeight="false" hidden="false" ht="14" outlineLevel="0" r="18">
      <c r="A18" s="792"/>
      <c r="B18" s="797" t="str">
        <f aca="false">6_Prod_Scios_Intermedios_10!B20</f>
        <v>Hematología</v>
      </c>
      <c r="C18" s="798" t="n">
        <f aca="false">17_Prog_Produc_2011!G37</f>
        <v>951</v>
      </c>
      <c r="D18" s="799" t="n">
        <f aca="false">6_Prod_Scios_Intermedios_10!G20</f>
        <v>11.5083507306889</v>
      </c>
      <c r="E18" s="800" t="n">
        <f aca="false">D18</f>
        <v>11.5083507306889</v>
      </c>
      <c r="F18" s="801" t="n">
        <f aca="false">IF(ISERROR($C18*E18),"",ROUND($C18*E18,0))</f>
        <v>10944</v>
      </c>
      <c r="G18" s="799" t="n">
        <f aca="false">6_Prod_Scios_Intermedios_10!G48</f>
        <v>0</v>
      </c>
      <c r="H18" s="800" t="n">
        <f aca="false">G18</f>
        <v>0</v>
      </c>
      <c r="I18" s="801" t="n">
        <f aca="false">IF(ISERROR($C18*H18),"",ROUND($C18*H18,0))</f>
        <v>0</v>
      </c>
      <c r="J18" s="799" t="n">
        <f aca="false">6_Prod_Scios_Intermedios_10!G76</f>
        <v>1.92901878914405</v>
      </c>
      <c r="K18" s="800" t="n">
        <f aca="false">J18</f>
        <v>1.92901878914405</v>
      </c>
      <c r="L18" s="801" t="n">
        <f aca="false">IF(ISERROR($C18*K18),"",ROUND($C18*K18,0))</f>
        <v>1834</v>
      </c>
      <c r="M18" s="799" t="n">
        <f aca="false">6_Prod_Scios_Intermedios_10!G105</f>
        <v>0.249478079331942</v>
      </c>
      <c r="N18" s="800" t="n">
        <f aca="false">M18</f>
        <v>0.249478079331942</v>
      </c>
      <c r="O18" s="801" t="n">
        <f aca="false">IF(ISERROR($C18*N18),"",ROUND($C18*N18,0))</f>
        <v>237</v>
      </c>
      <c r="P18" s="799" t="n">
        <f aca="false">6_Prod_Scios_Intermedios_10!G133</f>
        <v>0.143006263048017</v>
      </c>
      <c r="Q18" s="800" t="n">
        <f aca="false">P18</f>
        <v>0.143006263048017</v>
      </c>
      <c r="R18" s="801" t="n">
        <f aca="false">IF(ISERROR($C18*Q18),"",ROUND($C18*Q18,0))</f>
        <v>136</v>
      </c>
      <c r="S18" s="799" t="n">
        <f aca="false">6_Prod_Scios_Intermedios_10!G161</f>
        <v>0.0636743215031315</v>
      </c>
      <c r="T18" s="800" t="n">
        <f aca="false">S18</f>
        <v>0.0636743215031315</v>
      </c>
      <c r="U18" s="801" t="n">
        <f aca="false">IF(ISERROR($C18*T18),"",ROUND($C18*T18,0))</f>
        <v>61</v>
      </c>
      <c r="V18" s="799" t="n">
        <f aca="false">6_Prod_Scios_Intermedios_10!G190</f>
        <v>0.0260960334029228</v>
      </c>
      <c r="W18" s="800" t="n">
        <f aca="false">V18</f>
        <v>0.0260960334029228</v>
      </c>
      <c r="X18" s="801" t="n">
        <f aca="false">IF(ISERROR($C18*W18),"",ROUND($C18*W18,0))</f>
        <v>25</v>
      </c>
      <c r="Y18" s="799" t="n">
        <f aca="false">6_Prod_Scios_Intermedios_10!G218</f>
        <v>0.0250521920668058</v>
      </c>
      <c r="Z18" s="800" t="n">
        <f aca="false">Y18</f>
        <v>0.0250521920668058</v>
      </c>
      <c r="AA18" s="801" t="n">
        <f aca="false">IF(ISERROR($C18*Z18),"",ROUND($C18*Z18,0))</f>
        <v>24</v>
      </c>
      <c r="AB18" s="799" t="n">
        <f aca="false">6_Prod_Scios_Intermedios_10!G246</f>
        <v>0</v>
      </c>
      <c r="AC18" s="800" t="n">
        <f aca="false">AB18</f>
        <v>0</v>
      </c>
      <c r="AD18" s="801" t="n">
        <f aca="false">IF(ISERROR($C18*AC18),"",ROUND($C18*AC18,0))</f>
        <v>0</v>
      </c>
      <c r="AE18" s="799" t="n">
        <f aca="false">6_Prod_Scios_Intermedios_10!G274</f>
        <v>0</v>
      </c>
      <c r="AF18" s="800" t="n">
        <f aca="false">AE18</f>
        <v>0</v>
      </c>
      <c r="AG18" s="801" t="n">
        <f aca="false">IF(ISERROR($C18*AF18),"",ROUND($C18*AF18,0))</f>
        <v>0</v>
      </c>
      <c r="AH18" s="799" t="n">
        <f aca="false">6_Prod_Scios_Intermedios_10!G302</f>
        <v>0.0521920668058455</v>
      </c>
      <c r="AI18" s="800" t="n">
        <f aca="false">AH18</f>
        <v>0.0521920668058455</v>
      </c>
      <c r="AJ18" s="801" t="n">
        <f aca="false">IF(ISERROR($C18*AI18),"",ROUND($C18*AI18,0))</f>
        <v>50</v>
      </c>
      <c r="AK18" s="799" t="n">
        <f aca="false">6_Prod_Scios_Intermedios_10!G331</f>
        <v>34.8705636743215</v>
      </c>
      <c r="AL18" s="800" t="n">
        <f aca="false">AK18</f>
        <v>34.8705636743215</v>
      </c>
      <c r="AM18" s="801" t="n">
        <f aca="false">IF(ISERROR($C18*AL18),"",ROUND($C18*AL18,0))</f>
        <v>33162</v>
      </c>
      <c r="AN18" s="799" t="n">
        <f aca="false">6_Prod_Scios_Intermedios_10!G359</f>
        <v>0.226513569937369</v>
      </c>
      <c r="AO18" s="800" t="n">
        <f aca="false">AN18</f>
        <v>0.226513569937369</v>
      </c>
      <c r="AP18" s="801" t="n">
        <f aca="false">IF(ISERROR($C18*AO18),"",ROUND($C18*AO18,0))</f>
        <v>215</v>
      </c>
      <c r="AQ18" s="799" t="n">
        <f aca="false">6_Prod_Scios_Intermedios_10!G387</f>
        <v>1</v>
      </c>
      <c r="AR18" s="800" t="n">
        <f aca="false">AQ18</f>
        <v>1</v>
      </c>
      <c r="AS18" s="802" t="n">
        <f aca="false">IF(ISERROR($C18*AR18),"",ROUND($C18*AR18,0))</f>
        <v>951</v>
      </c>
    </row>
    <row collapsed="false" customFormat="false" customHeight="false" hidden="false" ht="14" outlineLevel="0" r="19">
      <c r="A19" s="792"/>
      <c r="B19" s="797" t="str">
        <f aca="false">6_Prod_Scios_Intermedios_10!B21</f>
        <v>Oncología</v>
      </c>
      <c r="C19" s="798" t="n">
        <f aca="false">17_Prog_Produc_2011!G38</f>
        <v>686</v>
      </c>
      <c r="D19" s="799" t="n">
        <f aca="false">6_Prod_Scios_Intermedios_10!G21</f>
        <v>42.5550847457627</v>
      </c>
      <c r="E19" s="800" t="n">
        <f aca="false">D19</f>
        <v>42.5550847457627</v>
      </c>
      <c r="F19" s="801" t="n">
        <f aca="false">IF(ISERROR($C19*E19),"",ROUND($C19*E19,0))</f>
        <v>29193</v>
      </c>
      <c r="G19" s="799" t="n">
        <f aca="false">6_Prod_Scios_Intermedios_10!G49</f>
        <v>0</v>
      </c>
      <c r="H19" s="800" t="n">
        <f aca="false">G19</f>
        <v>0</v>
      </c>
      <c r="I19" s="801" t="n">
        <f aca="false">IF(ISERROR($C19*H19),"",ROUND($C19*H19,0))</f>
        <v>0</v>
      </c>
      <c r="J19" s="799" t="n">
        <f aca="false">6_Prod_Scios_Intermedios_10!G77</f>
        <v>12.2584745762712</v>
      </c>
      <c r="K19" s="800" t="n">
        <f aca="false">J19</f>
        <v>12.2584745762712</v>
      </c>
      <c r="L19" s="801" t="n">
        <f aca="false">IF(ISERROR($C19*K19),"",ROUND($C19*K19,0))</f>
        <v>8409</v>
      </c>
      <c r="M19" s="799" t="n">
        <f aca="false">6_Prod_Scios_Intermedios_10!G106</f>
        <v>0.768361581920904</v>
      </c>
      <c r="N19" s="800" t="n">
        <f aca="false">M19</f>
        <v>0.768361581920904</v>
      </c>
      <c r="O19" s="801" t="n">
        <f aca="false">IF(ISERROR($C19*N19),"",ROUND($C19*N19,0))</f>
        <v>527</v>
      </c>
      <c r="P19" s="799" t="n">
        <f aca="false">6_Prod_Scios_Intermedios_10!G134</f>
        <v>0.333333333333333</v>
      </c>
      <c r="Q19" s="800" t="n">
        <f aca="false">P19</f>
        <v>0.333333333333333</v>
      </c>
      <c r="R19" s="801" t="n">
        <f aca="false">IF(ISERROR($C19*Q19),"",ROUND($C19*Q19,0))</f>
        <v>229</v>
      </c>
      <c r="S19" s="799" t="n">
        <f aca="false">6_Prod_Scios_Intermedios_10!G162</f>
        <v>0.532485875706215</v>
      </c>
      <c r="T19" s="800" t="n">
        <f aca="false">S19</f>
        <v>0.532485875706215</v>
      </c>
      <c r="U19" s="801" t="n">
        <f aca="false">IF(ISERROR($C19*T19),"",ROUND($C19*T19,0))</f>
        <v>365</v>
      </c>
      <c r="V19" s="799" t="n">
        <f aca="false">6_Prod_Scios_Intermedios_10!G191</f>
        <v>0.019774011299435</v>
      </c>
      <c r="W19" s="800" t="n">
        <f aca="false">V19</f>
        <v>0.019774011299435</v>
      </c>
      <c r="X19" s="801" t="n">
        <f aca="false">IF(ISERROR($C19*W19),"",ROUND($C19*W19,0))</f>
        <v>14</v>
      </c>
      <c r="Y19" s="799" t="n">
        <f aca="false">6_Prod_Scios_Intermedios_10!G219</f>
        <v>0.0423728813559322</v>
      </c>
      <c r="Z19" s="800" t="n">
        <f aca="false">Y19</f>
        <v>0.0423728813559322</v>
      </c>
      <c r="AA19" s="801" t="n">
        <f aca="false">IF(ISERROR($C19*Z19),"",ROUND($C19*Z19,0))</f>
        <v>29</v>
      </c>
      <c r="AB19" s="799" t="n">
        <f aca="false">6_Prod_Scios_Intermedios_10!G247</f>
        <v>0</v>
      </c>
      <c r="AC19" s="800" t="n">
        <f aca="false">AB19</f>
        <v>0</v>
      </c>
      <c r="AD19" s="801" t="n">
        <f aca="false">IF(ISERROR($C19*AC19),"",ROUND($C19*AC19,0))</f>
        <v>0</v>
      </c>
      <c r="AE19" s="799" t="n">
        <f aca="false">6_Prod_Scios_Intermedios_10!G275</f>
        <v>0</v>
      </c>
      <c r="AF19" s="800" t="n">
        <f aca="false">AE19</f>
        <v>0</v>
      </c>
      <c r="AG19" s="801" t="n">
        <f aca="false">IF(ISERROR($C19*AF19),"",ROUND($C19*AF19,0))</f>
        <v>0</v>
      </c>
      <c r="AH19" s="799" t="n">
        <f aca="false">6_Prod_Scios_Intermedios_10!G303</f>
        <v>0.161016949152542</v>
      </c>
      <c r="AI19" s="800" t="n">
        <f aca="false">AH19</f>
        <v>0.161016949152542</v>
      </c>
      <c r="AJ19" s="801" t="n">
        <f aca="false">IF(ISERROR($C19*AI19),"",ROUND($C19*AI19,0))</f>
        <v>110</v>
      </c>
      <c r="AK19" s="799" t="n">
        <f aca="false">6_Prod_Scios_Intermedios_10!G332</f>
        <v>20.1341807909605</v>
      </c>
      <c r="AL19" s="800" t="n">
        <f aca="false">AK19</f>
        <v>20.1341807909605</v>
      </c>
      <c r="AM19" s="801" t="n">
        <f aca="false">IF(ISERROR($C19*AL19),"",ROUND($C19*AL19,0))</f>
        <v>13812</v>
      </c>
      <c r="AN19" s="799" t="n">
        <f aca="false">6_Prod_Scios_Intermedios_10!G360</f>
        <v>3.07203389830508</v>
      </c>
      <c r="AO19" s="800" t="n">
        <f aca="false">AN19</f>
        <v>3.07203389830508</v>
      </c>
      <c r="AP19" s="801" t="n">
        <f aca="false">IF(ISERROR($C19*AO19),"",ROUND($C19*AO19,0))</f>
        <v>2107</v>
      </c>
      <c r="AQ19" s="799" t="n">
        <f aca="false">6_Prod_Scios_Intermedios_10!G388</f>
        <v>1</v>
      </c>
      <c r="AR19" s="800" t="n">
        <f aca="false">AQ19</f>
        <v>1</v>
      </c>
      <c r="AS19" s="802" t="n">
        <f aca="false">IF(ISERROR($C19*AR19),"",ROUND($C19*AR19,0))</f>
        <v>686</v>
      </c>
    </row>
    <row collapsed="false" customFormat="false" customHeight="false" hidden="false" ht="14" outlineLevel="0" r="20">
      <c r="A20" s="792"/>
      <c r="B20" s="797" t="str">
        <f aca="false">6_Prod_Scios_Intermedios_10!B22</f>
        <v>Neonatología</v>
      </c>
      <c r="C20" s="798" t="n">
        <f aca="false">17_Prog_Produc_2011!G39</f>
        <v>698</v>
      </c>
      <c r="D20" s="799" t="n">
        <f aca="false">6_Prod_Scios_Intermedios_10!G22</f>
        <v>51.7763713080169</v>
      </c>
      <c r="E20" s="800" t="n">
        <f aca="false">D20</f>
        <v>51.7763713080169</v>
      </c>
      <c r="F20" s="801" t="n">
        <f aca="false">IF(ISERROR($C20*E20),"",ROUND($C20*E20,0))</f>
        <v>36140</v>
      </c>
      <c r="G20" s="799" t="n">
        <f aca="false">6_Prod_Scios_Intermedios_10!G50</f>
        <v>0.150492264416315</v>
      </c>
      <c r="H20" s="800" t="n">
        <f aca="false">G20</f>
        <v>0.150492264416315</v>
      </c>
      <c r="I20" s="801" t="n">
        <f aca="false">IF(ISERROR($C20*H20),"",ROUND($C20*H20,0))</f>
        <v>105</v>
      </c>
      <c r="J20" s="799" t="n">
        <f aca="false">6_Prod_Scios_Intermedios_10!G78</f>
        <v>1.36286919831224</v>
      </c>
      <c r="K20" s="800" t="n">
        <f aca="false">J20</f>
        <v>1.36286919831224</v>
      </c>
      <c r="L20" s="801" t="n">
        <f aca="false">IF(ISERROR($C20*K20),"",ROUND($C20*K20,0))</f>
        <v>951</v>
      </c>
      <c r="M20" s="799" t="n">
        <f aca="false">6_Prod_Scios_Intermedios_10!G107</f>
        <v>3.07032348804501</v>
      </c>
      <c r="N20" s="800" t="n">
        <f aca="false">M20</f>
        <v>3.07032348804501</v>
      </c>
      <c r="O20" s="801" t="n">
        <f aca="false">IF(ISERROR($C20*N20),"",ROUND($C20*N20,0))</f>
        <v>2143</v>
      </c>
      <c r="P20" s="799" t="n">
        <f aca="false">6_Prod_Scios_Intermedios_10!G135</f>
        <v>0.555555555555556</v>
      </c>
      <c r="Q20" s="800" t="n">
        <f aca="false">P20</f>
        <v>0.555555555555556</v>
      </c>
      <c r="R20" s="801" t="n">
        <f aca="false">IF(ISERROR($C20*Q20),"",ROUND($C20*Q20,0))</f>
        <v>388</v>
      </c>
      <c r="S20" s="799" t="n">
        <f aca="false">6_Prod_Scios_Intermedios_10!G163</f>
        <v>0.0365682137834037</v>
      </c>
      <c r="T20" s="800" t="n">
        <f aca="false">S20</f>
        <v>0.0365682137834037</v>
      </c>
      <c r="U20" s="801" t="n">
        <f aca="false">IF(ISERROR($C20*T20),"",ROUND($C20*T20,0))</f>
        <v>26</v>
      </c>
      <c r="V20" s="799" t="n">
        <f aca="false">6_Prod_Scios_Intermedios_10!G192</f>
        <v>0.0562587904360056</v>
      </c>
      <c r="W20" s="800" t="n">
        <f aca="false">V20</f>
        <v>0.0562587904360056</v>
      </c>
      <c r="X20" s="801" t="n">
        <f aca="false">IF(ISERROR($C20*W20),"",ROUND($C20*W20,0))</f>
        <v>39</v>
      </c>
      <c r="Y20" s="799" t="n">
        <f aca="false">6_Prod_Scios_Intermedios_10!G220</f>
        <v>0.10126582278481</v>
      </c>
      <c r="Z20" s="800" t="n">
        <f aca="false">Y20</f>
        <v>0.10126582278481</v>
      </c>
      <c r="AA20" s="801" t="n">
        <f aca="false">IF(ISERROR($C20*Z20),"",ROUND($C20*Z20,0))</f>
        <v>71</v>
      </c>
      <c r="AB20" s="799" t="n">
        <f aca="false">6_Prod_Scios_Intermedios_10!G248</f>
        <v>0</v>
      </c>
      <c r="AC20" s="800" t="n">
        <f aca="false">AB20</f>
        <v>0</v>
      </c>
      <c r="AD20" s="801" t="n">
        <f aca="false">IF(ISERROR($C20*AC20),"",ROUND($C20*AC20,0))</f>
        <v>0</v>
      </c>
      <c r="AE20" s="799" t="n">
        <f aca="false">6_Prod_Scios_Intermedios_10!G276</f>
        <v>0</v>
      </c>
      <c r="AF20" s="800" t="n">
        <f aca="false">AE20</f>
        <v>0</v>
      </c>
      <c r="AG20" s="801" t="n">
        <f aca="false">IF(ISERROR($C20*AF20),"",ROUND($C20*AF20,0))</f>
        <v>0</v>
      </c>
      <c r="AH20" s="799" t="n">
        <f aca="false">6_Prod_Scios_Intermedios_10!G304</f>
        <v>0.0548523206751055</v>
      </c>
      <c r="AI20" s="800" t="n">
        <f aca="false">AH20</f>
        <v>0.0548523206751055</v>
      </c>
      <c r="AJ20" s="801" t="n">
        <f aca="false">IF(ISERROR($C20*AI20),"",ROUND($C20*AI20,0))</f>
        <v>38</v>
      </c>
      <c r="AK20" s="799" t="n">
        <f aca="false">6_Prod_Scios_Intermedios_10!G333</f>
        <v>42.9592123769339</v>
      </c>
      <c r="AL20" s="800" t="n">
        <f aca="false">AK20</f>
        <v>42.9592123769339</v>
      </c>
      <c r="AM20" s="801" t="n">
        <f aca="false">IF(ISERROR($C20*AL20),"",ROUND($C20*AL20,0))</f>
        <v>29986</v>
      </c>
      <c r="AN20" s="799" t="n">
        <f aca="false">6_Prod_Scios_Intermedios_10!G361</f>
        <v>1.37974683544304</v>
      </c>
      <c r="AO20" s="800" t="n">
        <f aca="false">AN20</f>
        <v>1.37974683544304</v>
      </c>
      <c r="AP20" s="801" t="n">
        <f aca="false">IF(ISERROR($C20*AO20),"",ROUND($C20*AO20,0))</f>
        <v>963</v>
      </c>
      <c r="AQ20" s="799" t="n">
        <f aca="false">6_Prod_Scios_Intermedios_10!G389</f>
        <v>1</v>
      </c>
      <c r="AR20" s="800" t="n">
        <f aca="false">AQ20</f>
        <v>1</v>
      </c>
      <c r="AS20" s="802" t="n">
        <f aca="false">IF(ISERROR($C20*AR20),"",ROUND($C20*AR20,0))</f>
        <v>698</v>
      </c>
    </row>
    <row collapsed="false" customFormat="false" customHeight="false" hidden="false" ht="14" outlineLevel="0" r="21">
      <c r="A21" s="792"/>
      <c r="B21" s="797" t="str">
        <f aca="false">6_Prod_Scios_Intermedios_10!B23</f>
        <v>Cirugía General</v>
      </c>
      <c r="C21" s="798" t="n">
        <f aca="false">17_Prog_Produc_2011!G41</f>
        <v>2575</v>
      </c>
      <c r="D21" s="799" t="n">
        <f aca="false">6_Prod_Scios_Intermedios_10!G23</f>
        <v>3.51991701244813</v>
      </c>
      <c r="E21" s="800" t="n">
        <f aca="false">D21</f>
        <v>3.51991701244813</v>
      </c>
      <c r="F21" s="801" t="n">
        <f aca="false">IF(ISERROR($C21*E21),"",ROUND($C21*E21,0))</f>
        <v>9064</v>
      </c>
      <c r="G21" s="799" t="n">
        <f aca="false">6_Prod_Scios_Intermedios_10!G51</f>
        <v>0</v>
      </c>
      <c r="H21" s="800" t="n">
        <f aca="false">G21</f>
        <v>0</v>
      </c>
      <c r="I21" s="801" t="n">
        <f aca="false">IF(ISERROR($C21*H21),"",ROUND($C21*H21,0))</f>
        <v>0</v>
      </c>
      <c r="J21" s="799" t="n">
        <f aca="false">6_Prod_Scios_Intermedios_10!G79</f>
        <v>0.0360995850622407</v>
      </c>
      <c r="K21" s="800" t="n">
        <f aca="false">J21</f>
        <v>0.0360995850622407</v>
      </c>
      <c r="L21" s="801" t="n">
        <f aca="false">IF(ISERROR($C21*K21),"",ROUND($C21*K21,0))</f>
        <v>93</v>
      </c>
      <c r="M21" s="799" t="n">
        <f aca="false">6_Prod_Scios_Intermedios_10!G108</f>
        <v>0.14149377593361</v>
      </c>
      <c r="N21" s="800" t="n">
        <f aca="false">M21</f>
        <v>0.14149377593361</v>
      </c>
      <c r="O21" s="801" t="n">
        <f aca="false">IF(ISERROR($C21*N21),"",ROUND($C21*N21,0))</f>
        <v>364</v>
      </c>
      <c r="P21" s="799" t="n">
        <f aca="false">6_Prod_Scios_Intermedios_10!G136</f>
        <v>0.0655601659751037</v>
      </c>
      <c r="Q21" s="800" t="n">
        <f aca="false">P21</f>
        <v>0.0655601659751037</v>
      </c>
      <c r="R21" s="801" t="n">
        <f aca="false">IF(ISERROR($C21*Q21),"",ROUND($C21*Q21,0))</f>
        <v>169</v>
      </c>
      <c r="S21" s="799" t="n">
        <f aca="false">6_Prod_Scios_Intermedios_10!G164</f>
        <v>0.0153526970954357</v>
      </c>
      <c r="T21" s="800" t="n">
        <f aca="false">S21</f>
        <v>0.0153526970954357</v>
      </c>
      <c r="U21" s="801" t="n">
        <f aca="false">IF(ISERROR($C21*T21),"",ROUND($C21*T21,0))</f>
        <v>40</v>
      </c>
      <c r="V21" s="799" t="n">
        <f aca="false">6_Prod_Scios_Intermedios_10!G193</f>
        <v>0.0004149377593361</v>
      </c>
      <c r="W21" s="800" t="n">
        <f aca="false">V21</f>
        <v>0.0004149377593361</v>
      </c>
      <c r="X21" s="801" t="n">
        <f aca="false">IF(ISERROR($C21*W21),"",ROUND($C21*W21,0))</f>
        <v>1</v>
      </c>
      <c r="Y21" s="799" t="n">
        <f aca="false">6_Prod_Scios_Intermedios_10!G221</f>
        <v>0.0029045643153527</v>
      </c>
      <c r="Z21" s="800" t="n">
        <f aca="false">Y21</f>
        <v>0.0029045643153527</v>
      </c>
      <c r="AA21" s="801" t="n">
        <f aca="false">IF(ISERROR($C21*Z21),"",ROUND($C21*Z21,0))</f>
        <v>7</v>
      </c>
      <c r="AB21" s="799" t="n">
        <f aca="false">6_Prod_Scios_Intermedios_10!G249</f>
        <v>0</v>
      </c>
      <c r="AC21" s="800" t="n">
        <f aca="false">AB21</f>
        <v>0</v>
      </c>
      <c r="AD21" s="801" t="n">
        <f aca="false">IF(ISERROR($C21*AC21),"",ROUND($C21*AC21,0))</f>
        <v>0</v>
      </c>
      <c r="AE21" s="799" t="n">
        <f aca="false">6_Prod_Scios_Intermedios_10!G277</f>
        <v>0</v>
      </c>
      <c r="AF21" s="800" t="n">
        <f aca="false">AE21</f>
        <v>0</v>
      </c>
      <c r="AG21" s="801" t="n">
        <f aca="false">IF(ISERROR($C21*AF21),"",ROUND($C21*AF21,0))</f>
        <v>0</v>
      </c>
      <c r="AH21" s="799" t="n">
        <f aca="false">6_Prod_Scios_Intermedios_10!G305</f>
        <v>0.380082987551867</v>
      </c>
      <c r="AI21" s="800" t="n">
        <f aca="false">AH21</f>
        <v>0.380082987551867</v>
      </c>
      <c r="AJ21" s="801" t="n">
        <f aca="false">IF(ISERROR($C21*AI21),"",ROUND($C21*AI21,0))</f>
        <v>979</v>
      </c>
      <c r="AK21" s="799" t="n">
        <f aca="false">6_Prod_Scios_Intermedios_10!G334</f>
        <v>10.1228215767635</v>
      </c>
      <c r="AL21" s="800" t="n">
        <f aca="false">AK21</f>
        <v>10.1228215767635</v>
      </c>
      <c r="AM21" s="801" t="n">
        <f aca="false">IF(ISERROR($C21*AL21),"",ROUND($C21*AL21,0))</f>
        <v>26066</v>
      </c>
      <c r="AN21" s="799" t="n">
        <f aca="false">6_Prod_Scios_Intermedios_10!G362</f>
        <v>0.266390041493776</v>
      </c>
      <c r="AO21" s="800" t="n">
        <f aca="false">AN21</f>
        <v>0.266390041493776</v>
      </c>
      <c r="AP21" s="801" t="n">
        <f aca="false">IF(ISERROR($C21*AO21),"",ROUND($C21*AO21,0))</f>
        <v>686</v>
      </c>
      <c r="AQ21" s="799" t="n">
        <f aca="false">6_Prod_Scios_Intermedios_10!G390</f>
        <v>0.103319502074689</v>
      </c>
      <c r="AR21" s="800" t="n">
        <f aca="false">AQ21</f>
        <v>0.103319502074689</v>
      </c>
      <c r="AS21" s="802" t="n">
        <f aca="false">IF(ISERROR($C21*AR21),"",ROUND($C21*AR21,0))</f>
        <v>266</v>
      </c>
    </row>
    <row collapsed="false" customFormat="false" customHeight="false" hidden="false" ht="14" outlineLevel="0" r="22">
      <c r="A22" s="792"/>
      <c r="B22" s="797" t="str">
        <f aca="false">6_Prod_Scios_Intermedios_10!B24</f>
        <v>Cirugía Plastica</v>
      </c>
      <c r="C22" s="798" t="n">
        <f aca="false">17_Prog_Produc_2011!G42</f>
        <v>1028</v>
      </c>
      <c r="D22" s="799" t="n">
        <f aca="false">6_Prod_Scios_Intermedios_10!G24</f>
        <v>6.84927234927235</v>
      </c>
      <c r="E22" s="800" t="n">
        <f aca="false">D22</f>
        <v>6.84927234927235</v>
      </c>
      <c r="F22" s="801" t="n">
        <f aca="false">IF(ISERROR($C22*E22),"",ROUND($C22*E22,0))</f>
        <v>7041</v>
      </c>
      <c r="G22" s="799" t="n">
        <f aca="false">6_Prod_Scios_Intermedios_10!G52</f>
        <v>0</v>
      </c>
      <c r="H22" s="800" t="n">
        <f aca="false">G22</f>
        <v>0</v>
      </c>
      <c r="I22" s="801" t="n">
        <f aca="false">IF(ISERROR($C22*H22),"",ROUND($C22*H22,0))</f>
        <v>0</v>
      </c>
      <c r="J22" s="799" t="n">
        <f aca="false">6_Prod_Scios_Intermedios_10!G80</f>
        <v>0.280665280665281</v>
      </c>
      <c r="K22" s="800" t="n">
        <f aca="false">J22</f>
        <v>0.280665280665281</v>
      </c>
      <c r="L22" s="801" t="n">
        <f aca="false">IF(ISERROR($C22*K22),"",ROUND($C22*K22,0))</f>
        <v>289</v>
      </c>
      <c r="M22" s="799" t="n">
        <f aca="false">6_Prod_Scios_Intermedios_10!G109</f>
        <v>0.08004158004158</v>
      </c>
      <c r="N22" s="800" t="n">
        <f aca="false">M22</f>
        <v>0.08004158004158</v>
      </c>
      <c r="O22" s="801" t="n">
        <f aca="false">IF(ISERROR($C22*N22),"",ROUND($C22*N22,0))</f>
        <v>82</v>
      </c>
      <c r="P22" s="799" t="n">
        <f aca="false">6_Prod_Scios_Intermedios_10!G137</f>
        <v>0.0207900207900208</v>
      </c>
      <c r="Q22" s="800" t="n">
        <f aca="false">P22</f>
        <v>0.0207900207900208</v>
      </c>
      <c r="R22" s="801" t="n">
        <f aca="false">IF(ISERROR($C22*Q22),"",ROUND($C22*Q22,0))</f>
        <v>21</v>
      </c>
      <c r="S22" s="799" t="n">
        <f aca="false">6_Prod_Scios_Intermedios_10!G165</f>
        <v>0.0135135135135135</v>
      </c>
      <c r="T22" s="800" t="n">
        <f aca="false">S22</f>
        <v>0.0135135135135135</v>
      </c>
      <c r="U22" s="801" t="n">
        <f aca="false">IF(ISERROR($C22*T22),"",ROUND($C22*T22,0))</f>
        <v>14</v>
      </c>
      <c r="V22" s="799" t="n">
        <f aca="false">6_Prod_Scios_Intermedios_10!G194</f>
        <v>0.00207900207900208</v>
      </c>
      <c r="W22" s="800" t="n">
        <f aca="false">V22</f>
        <v>0.00207900207900208</v>
      </c>
      <c r="X22" s="801" t="n">
        <f aca="false">IF(ISERROR($C22*W22),"",ROUND($C22*W22,0))</f>
        <v>2</v>
      </c>
      <c r="Y22" s="799" t="n">
        <f aca="false">6_Prod_Scios_Intermedios_10!G222</f>
        <v>0.00727650727650728</v>
      </c>
      <c r="Z22" s="800" t="n">
        <f aca="false">Y22</f>
        <v>0.00727650727650728</v>
      </c>
      <c r="AA22" s="801" t="n">
        <f aca="false">IF(ISERROR($C22*Z22),"",ROUND($C22*Z22,0))</f>
        <v>7</v>
      </c>
      <c r="AB22" s="799" t="n">
        <f aca="false">6_Prod_Scios_Intermedios_10!G250</f>
        <v>0</v>
      </c>
      <c r="AC22" s="800" t="n">
        <f aca="false">AB22</f>
        <v>0</v>
      </c>
      <c r="AD22" s="801" t="n">
        <f aca="false">IF(ISERROR($C22*AC22),"",ROUND($C22*AC22,0))</f>
        <v>0</v>
      </c>
      <c r="AE22" s="799" t="n">
        <f aca="false">6_Prod_Scios_Intermedios_10!G278</f>
        <v>0</v>
      </c>
      <c r="AF22" s="800" t="n">
        <f aca="false">AE22</f>
        <v>0</v>
      </c>
      <c r="AG22" s="801" t="n">
        <f aca="false">IF(ISERROR($C22*AF22),"",ROUND($C22*AF22,0))</f>
        <v>0</v>
      </c>
      <c r="AH22" s="799" t="n">
        <f aca="false">6_Prod_Scios_Intermedios_10!G306</f>
        <v>0.0374220374220374</v>
      </c>
      <c r="AI22" s="800" t="n">
        <f aca="false">AH22</f>
        <v>0.0374220374220374</v>
      </c>
      <c r="AJ22" s="801" t="n">
        <f aca="false">IF(ISERROR($C22*AI22),"",ROUND($C22*AI22,0))</f>
        <v>38</v>
      </c>
      <c r="AK22" s="799" t="n">
        <f aca="false">6_Prod_Scios_Intermedios_10!G335</f>
        <v>20.1403326403326</v>
      </c>
      <c r="AL22" s="800" t="n">
        <f aca="false">AK22</f>
        <v>20.1403326403326</v>
      </c>
      <c r="AM22" s="801" t="n">
        <f aca="false">IF(ISERROR($C22*AL22),"",ROUND($C22*AL22,0))</f>
        <v>20704</v>
      </c>
      <c r="AN22" s="799" t="n">
        <f aca="false">6_Prod_Scios_Intermedios_10!G363</f>
        <v>1.62474012474012</v>
      </c>
      <c r="AO22" s="800" t="n">
        <f aca="false">AN22</f>
        <v>1.62474012474012</v>
      </c>
      <c r="AP22" s="801" t="n">
        <f aca="false">IF(ISERROR($C22*AO22),"",ROUND($C22*AO22,0))</f>
        <v>1670</v>
      </c>
      <c r="AQ22" s="799" t="n">
        <f aca="false">6_Prod_Scios_Intermedios_10!G391</f>
        <v>0</v>
      </c>
      <c r="AR22" s="800" t="n">
        <f aca="false">AQ22</f>
        <v>0</v>
      </c>
      <c r="AS22" s="802" t="n">
        <f aca="false">IF(ISERROR($C22*AR22),"",ROUND($C22*AR22,0))</f>
        <v>0</v>
      </c>
    </row>
    <row collapsed="false" customFormat="false" customHeight="false" hidden="false" ht="14" outlineLevel="0" r="23">
      <c r="A23" s="792"/>
      <c r="B23" s="797" t="str">
        <f aca="false">6_Prod_Scios_Intermedios_10!B25</f>
        <v>Neurocirugía</v>
      </c>
      <c r="C23" s="798" t="n">
        <f aca="false">17_Prog_Produc_2011!G43</f>
        <v>1309</v>
      </c>
      <c r="D23" s="799" t="n">
        <f aca="false">6_Prod_Scios_Intermedios_10!G25</f>
        <v>9.79427083333333</v>
      </c>
      <c r="E23" s="800" t="n">
        <f aca="false">D23</f>
        <v>9.79427083333333</v>
      </c>
      <c r="F23" s="801" t="n">
        <f aca="false">IF(ISERROR($C23*E23),"",ROUND($C23*E23,0))</f>
        <v>12821</v>
      </c>
      <c r="G23" s="799" t="n">
        <f aca="false">6_Prod_Scios_Intermedios_10!G53</f>
        <v>0</v>
      </c>
      <c r="H23" s="800" t="n">
        <f aca="false">G23</f>
        <v>0</v>
      </c>
      <c r="I23" s="801" t="n">
        <f aca="false">IF(ISERROR($C23*H23),"",ROUND($C23*H23,0))</f>
        <v>0</v>
      </c>
      <c r="J23" s="799" t="n">
        <f aca="false">6_Prod_Scios_Intermedios_10!G81</f>
        <v>0.143229166666667</v>
      </c>
      <c r="K23" s="800" t="n">
        <f aca="false">J23</f>
        <v>0.143229166666667</v>
      </c>
      <c r="L23" s="801" t="n">
        <f aca="false">IF(ISERROR($C23*K23),"",ROUND($C23*K23,0))</f>
        <v>187</v>
      </c>
      <c r="M23" s="799" t="n">
        <f aca="false">6_Prod_Scios_Intermedios_10!G110</f>
        <v>0.222222222222222</v>
      </c>
      <c r="N23" s="800" t="n">
        <f aca="false">M23</f>
        <v>0.222222222222222</v>
      </c>
      <c r="O23" s="801" t="n">
        <f aca="false">IF(ISERROR($C23*N23),"",ROUND($C23*N23,0))</f>
        <v>291</v>
      </c>
      <c r="P23" s="799" t="n">
        <f aca="false">6_Prod_Scios_Intermedios_10!G138</f>
        <v>0.0998263888888889</v>
      </c>
      <c r="Q23" s="800" t="n">
        <f aca="false">P23</f>
        <v>0.0998263888888889</v>
      </c>
      <c r="R23" s="801" t="n">
        <f aca="false">IF(ISERROR($C23*Q23),"",ROUND($C23*Q23,0))</f>
        <v>131</v>
      </c>
      <c r="S23" s="799" t="n">
        <f aca="false">6_Prod_Scios_Intermedios_10!G166</f>
        <v>0.177951388888889</v>
      </c>
      <c r="T23" s="800" t="n">
        <f aca="false">S23</f>
        <v>0.177951388888889</v>
      </c>
      <c r="U23" s="801" t="n">
        <f aca="false">IF(ISERROR($C23*T23),"",ROUND($C23*T23,0))</f>
        <v>233</v>
      </c>
      <c r="V23" s="799" t="n">
        <f aca="false">6_Prod_Scios_Intermedios_10!G195</f>
        <v>0.00607638888888889</v>
      </c>
      <c r="W23" s="800" t="n">
        <f aca="false">V23</f>
        <v>0.00607638888888889</v>
      </c>
      <c r="X23" s="801" t="n">
        <f aca="false">IF(ISERROR($C23*W23),"",ROUND($C23*W23,0))</f>
        <v>8</v>
      </c>
      <c r="Y23" s="799" t="n">
        <f aca="false">6_Prod_Scios_Intermedios_10!G223</f>
        <v>0.0130208333333333</v>
      </c>
      <c r="Z23" s="800" t="n">
        <f aca="false">Y23</f>
        <v>0.0130208333333333</v>
      </c>
      <c r="AA23" s="801" t="n">
        <f aca="false">IF(ISERROR($C23*Z23),"",ROUND($C23*Z23,0))</f>
        <v>17</v>
      </c>
      <c r="AB23" s="799" t="n">
        <f aca="false">6_Prod_Scios_Intermedios_10!G251</f>
        <v>0</v>
      </c>
      <c r="AC23" s="800" t="n">
        <f aca="false">AB23</f>
        <v>0</v>
      </c>
      <c r="AD23" s="801" t="n">
        <f aca="false">IF(ISERROR($C23*AC23),"",ROUND($C23*AC23,0))</f>
        <v>0</v>
      </c>
      <c r="AE23" s="799" t="n">
        <f aca="false">6_Prod_Scios_Intermedios_10!G279</f>
        <v>0</v>
      </c>
      <c r="AF23" s="800" t="n">
        <f aca="false">AE23</f>
        <v>0</v>
      </c>
      <c r="AG23" s="801" t="n">
        <f aca="false">IF(ISERROR($C23*AF23),"",ROUND($C23*AF23,0))</f>
        <v>0</v>
      </c>
      <c r="AH23" s="799" t="n">
        <f aca="false">6_Prod_Scios_Intermedios_10!G307</f>
        <v>0.0607638888888889</v>
      </c>
      <c r="AI23" s="800" t="n">
        <f aca="false">AH23</f>
        <v>0.0607638888888889</v>
      </c>
      <c r="AJ23" s="801" t="n">
        <f aca="false">IF(ISERROR($C23*AI23),"",ROUND($C23*AI23,0))</f>
        <v>80</v>
      </c>
      <c r="AK23" s="799" t="n">
        <f aca="false">6_Prod_Scios_Intermedios_10!G336</f>
        <v>6.1796875</v>
      </c>
      <c r="AL23" s="800" t="n">
        <f aca="false">AK23</f>
        <v>6.1796875</v>
      </c>
      <c r="AM23" s="801" t="n">
        <f aca="false">IF(ISERROR($C23*AL23),"",ROUND($C23*AL23,0))</f>
        <v>8089</v>
      </c>
      <c r="AN23" s="799" t="n">
        <f aca="false">6_Prod_Scios_Intermedios_10!G364</f>
        <v>0.306423611111111</v>
      </c>
      <c r="AO23" s="800" t="n">
        <f aca="false">AN23</f>
        <v>0.306423611111111</v>
      </c>
      <c r="AP23" s="801" t="n">
        <f aca="false">IF(ISERROR($C23*AO23),"",ROUND($C23*AO23,0))</f>
        <v>401</v>
      </c>
      <c r="AQ23" s="799" t="n">
        <f aca="false">6_Prod_Scios_Intermedios_10!G392</f>
        <v>0</v>
      </c>
      <c r="AR23" s="800" t="n">
        <f aca="false">AQ23</f>
        <v>0</v>
      </c>
      <c r="AS23" s="802" t="n">
        <f aca="false">IF(ISERROR($C23*AR23),"",ROUND($C23*AR23,0))</f>
        <v>0</v>
      </c>
    </row>
    <row collapsed="false" customFormat="false" customHeight="false" hidden="false" ht="14" outlineLevel="0" r="24">
      <c r="A24" s="792"/>
      <c r="B24" s="797" t="str">
        <f aca="false">6_Prod_Scios_Intermedios_10!B26</f>
        <v>Oftalmología</v>
      </c>
      <c r="C24" s="798" t="n">
        <f aca="false">17_Prog_Produc_2011!G44</f>
        <v>732</v>
      </c>
      <c r="D24" s="799" t="n">
        <f aca="false">6_Prod_Scios_Intermedios_10!G26</f>
        <v>2.01657458563536</v>
      </c>
      <c r="E24" s="800" t="n">
        <f aca="false">D24</f>
        <v>2.01657458563536</v>
      </c>
      <c r="F24" s="801" t="n">
        <f aca="false">IF(ISERROR($C24*E24),"",ROUND($C24*E24,0))</f>
        <v>1476</v>
      </c>
      <c r="G24" s="799" t="n">
        <f aca="false">6_Prod_Scios_Intermedios_10!G54</f>
        <v>0</v>
      </c>
      <c r="H24" s="800" t="n">
        <f aca="false">G24</f>
        <v>0</v>
      </c>
      <c r="I24" s="801" t="n">
        <f aca="false">IF(ISERROR($C24*H24),"",ROUND($C24*H24,0))</f>
        <v>0</v>
      </c>
      <c r="J24" s="799" t="n">
        <f aca="false">6_Prod_Scios_Intermedios_10!G82</f>
        <v>0.00773480662983425</v>
      </c>
      <c r="K24" s="800" t="n">
        <f aca="false">J24</f>
        <v>0.00773480662983425</v>
      </c>
      <c r="L24" s="801" t="n">
        <f aca="false">IF(ISERROR($C24*K24),"",ROUND($C24*K24,0))</f>
        <v>6</v>
      </c>
      <c r="M24" s="799" t="n">
        <f aca="false">6_Prod_Scios_Intermedios_10!G111</f>
        <v>0.0386740331491713</v>
      </c>
      <c r="N24" s="800" t="n">
        <f aca="false">M24</f>
        <v>0.0386740331491713</v>
      </c>
      <c r="O24" s="801" t="n">
        <f aca="false">IF(ISERROR($C24*N24),"",ROUND($C24*N24,0))</f>
        <v>28</v>
      </c>
      <c r="P24" s="799" t="n">
        <f aca="false">6_Prod_Scios_Intermedios_10!G139</f>
        <v>0.0265193370165746</v>
      </c>
      <c r="Q24" s="800" t="n">
        <f aca="false">P24</f>
        <v>0.0265193370165746</v>
      </c>
      <c r="R24" s="801" t="n">
        <f aca="false">IF(ISERROR($C24*Q24),"",ROUND($C24*Q24,0))</f>
        <v>19</v>
      </c>
      <c r="S24" s="799" t="n">
        <f aca="false">6_Prod_Scios_Intermedios_10!G167</f>
        <v>0.0530386740331492</v>
      </c>
      <c r="T24" s="800" t="n">
        <f aca="false">S24</f>
        <v>0.0530386740331492</v>
      </c>
      <c r="U24" s="801" t="n">
        <f aca="false">IF(ISERROR($C24*T24),"",ROUND($C24*T24,0))</f>
        <v>39</v>
      </c>
      <c r="V24" s="799" t="n">
        <f aca="false">6_Prod_Scios_Intermedios_10!G196</f>
        <v>0</v>
      </c>
      <c r="W24" s="800" t="n">
        <f aca="false">V24</f>
        <v>0</v>
      </c>
      <c r="X24" s="801" t="n">
        <f aca="false">IF(ISERROR($C24*W24),"",ROUND($C24*W24,0))</f>
        <v>0</v>
      </c>
      <c r="Y24" s="799" t="n">
        <f aca="false">6_Prod_Scios_Intermedios_10!G224</f>
        <v>0.00110497237569061</v>
      </c>
      <c r="Z24" s="800" t="n">
        <f aca="false">Y24</f>
        <v>0.00110497237569061</v>
      </c>
      <c r="AA24" s="801" t="n">
        <f aca="false">IF(ISERROR($C24*Z24),"",ROUND($C24*Z24,0))</f>
        <v>1</v>
      </c>
      <c r="AB24" s="799" t="n">
        <f aca="false">6_Prod_Scios_Intermedios_10!G252</f>
        <v>0</v>
      </c>
      <c r="AC24" s="800" t="n">
        <f aca="false">AB24</f>
        <v>0</v>
      </c>
      <c r="AD24" s="801" t="n">
        <f aca="false">IF(ISERROR($C24*AC24),"",ROUND($C24*AC24,0))</f>
        <v>0</v>
      </c>
      <c r="AE24" s="799" t="n">
        <f aca="false">6_Prod_Scios_Intermedios_10!G280</f>
        <v>0</v>
      </c>
      <c r="AF24" s="800" t="n">
        <f aca="false">AE24</f>
        <v>0</v>
      </c>
      <c r="AG24" s="801" t="n">
        <f aca="false">IF(ISERROR($C24*AF24),"",ROUND($C24*AF24,0))</f>
        <v>0</v>
      </c>
      <c r="AH24" s="799" t="n">
        <f aca="false">6_Prod_Scios_Intermedios_10!G308</f>
        <v>0.0552486187845304</v>
      </c>
      <c r="AI24" s="800" t="n">
        <f aca="false">AH24</f>
        <v>0.0552486187845304</v>
      </c>
      <c r="AJ24" s="801" t="n">
        <f aca="false">IF(ISERROR($C24*AI24),"",ROUND($C24*AI24,0))</f>
        <v>40</v>
      </c>
      <c r="AK24" s="799" t="n">
        <f aca="false">6_Prod_Scios_Intermedios_10!G337</f>
        <v>1.57127071823204</v>
      </c>
      <c r="AL24" s="800" t="n">
        <f aca="false">AK24</f>
        <v>1.57127071823204</v>
      </c>
      <c r="AM24" s="801" t="n">
        <f aca="false">IF(ISERROR($C24*AL24),"",ROUND($C24*AL24,0))</f>
        <v>1150</v>
      </c>
      <c r="AN24" s="799" t="n">
        <f aca="false">6_Prod_Scios_Intermedios_10!G365</f>
        <v>0.213259668508287</v>
      </c>
      <c r="AO24" s="800" t="n">
        <f aca="false">AN24</f>
        <v>0.213259668508287</v>
      </c>
      <c r="AP24" s="801" t="n">
        <f aca="false">IF(ISERROR($C24*AO24),"",ROUND($C24*AO24,0))</f>
        <v>156</v>
      </c>
      <c r="AQ24" s="799" t="n">
        <f aca="false">6_Prod_Scios_Intermedios_10!G393</f>
        <v>0</v>
      </c>
      <c r="AR24" s="800" t="n">
        <f aca="false">AQ24</f>
        <v>0</v>
      </c>
      <c r="AS24" s="802" t="n">
        <f aca="false">IF(ISERROR($C24*AR24),"",ROUND($C24*AR24,0))</f>
        <v>0</v>
      </c>
    </row>
    <row collapsed="false" customFormat="false" customHeight="false" hidden="false" ht="14" outlineLevel="0" r="25">
      <c r="A25" s="792"/>
      <c r="B25" s="797" t="str">
        <f aca="false">6_Prod_Scios_Intermedios_10!B27</f>
        <v>Otorrinolaringología</v>
      </c>
      <c r="C25" s="798" t="n">
        <f aca="false">17_Prog_Produc_2011!G45</f>
        <v>1713</v>
      </c>
      <c r="D25" s="799" t="n">
        <f aca="false">6_Prod_Scios_Intermedios_10!G27</f>
        <v>0.864721485411141</v>
      </c>
      <c r="E25" s="800" t="n">
        <f aca="false">D25</f>
        <v>0.864721485411141</v>
      </c>
      <c r="F25" s="801" t="n">
        <f aca="false">IF(ISERROR($C25*E25),"",ROUND($C25*E25,0))</f>
        <v>1481</v>
      </c>
      <c r="G25" s="799" t="n">
        <f aca="false">6_Prod_Scios_Intermedios_10!G55</f>
        <v>0</v>
      </c>
      <c r="H25" s="800" t="n">
        <f aca="false">G25</f>
        <v>0</v>
      </c>
      <c r="I25" s="801" t="n">
        <f aca="false">IF(ISERROR($C25*H25),"",ROUND($C25*H25,0))</f>
        <v>0</v>
      </c>
      <c r="J25" s="799" t="n">
        <f aca="false">6_Prod_Scios_Intermedios_10!G83</f>
        <v>0.0344827586206897</v>
      </c>
      <c r="K25" s="800" t="n">
        <f aca="false">J25</f>
        <v>0.0344827586206897</v>
      </c>
      <c r="L25" s="801" t="n">
        <f aca="false">IF(ISERROR($C25*K25),"",ROUND($C25*K25,0))</f>
        <v>59</v>
      </c>
      <c r="M25" s="799" t="n">
        <f aca="false">6_Prod_Scios_Intermedios_10!G112</f>
        <v>0.0548187444739169</v>
      </c>
      <c r="N25" s="800" t="n">
        <f aca="false">M25</f>
        <v>0.0548187444739169</v>
      </c>
      <c r="O25" s="801" t="n">
        <f aca="false">IF(ISERROR($C25*N25),"",ROUND($C25*N25,0))</f>
        <v>94</v>
      </c>
      <c r="P25" s="799" t="n">
        <f aca="false">6_Prod_Scios_Intermedios_10!G140</f>
        <v>0.017683465959328</v>
      </c>
      <c r="Q25" s="800" t="n">
        <f aca="false">P25</f>
        <v>0.017683465959328</v>
      </c>
      <c r="R25" s="801" t="n">
        <f aca="false">IF(ISERROR($C25*Q25),"",ROUND($C25*Q25,0))</f>
        <v>30</v>
      </c>
      <c r="S25" s="799" t="n">
        <f aca="false">6_Prod_Scios_Intermedios_10!G168</f>
        <v>0.0150309460654288</v>
      </c>
      <c r="T25" s="800" t="n">
        <f aca="false">S25</f>
        <v>0.0150309460654288</v>
      </c>
      <c r="U25" s="801" t="n">
        <f aca="false">IF(ISERROR($C25*T25),"",ROUND($C25*T25,0))</f>
        <v>26</v>
      </c>
      <c r="V25" s="799" t="n">
        <f aca="false">6_Prod_Scios_Intermedios_10!G197</f>
        <v>0</v>
      </c>
      <c r="W25" s="800" t="n">
        <f aca="false">V25</f>
        <v>0</v>
      </c>
      <c r="X25" s="801" t="n">
        <f aca="false">IF(ISERROR($C25*W25),"",ROUND($C25*W25,0))</f>
        <v>0</v>
      </c>
      <c r="Y25" s="799" t="n">
        <f aca="false">6_Prod_Scios_Intermedios_10!G225</f>
        <v>0.000884173297966401</v>
      </c>
      <c r="Z25" s="800" t="n">
        <f aca="false">Y25</f>
        <v>0.000884173297966401</v>
      </c>
      <c r="AA25" s="801" t="n">
        <f aca="false">IF(ISERROR($C25*Z25),"",ROUND($C25*Z25,0))</f>
        <v>2</v>
      </c>
      <c r="AB25" s="799" t="n">
        <f aca="false">6_Prod_Scios_Intermedios_10!G253</f>
        <v>0</v>
      </c>
      <c r="AC25" s="800" t="n">
        <f aca="false">AB25</f>
        <v>0</v>
      </c>
      <c r="AD25" s="801" t="n">
        <f aca="false">IF(ISERROR($C25*AC25),"",ROUND($C25*AC25,0))</f>
        <v>0</v>
      </c>
      <c r="AE25" s="799" t="n">
        <f aca="false">6_Prod_Scios_Intermedios_10!G281</f>
        <v>0.364279398762157</v>
      </c>
      <c r="AF25" s="800" t="n">
        <f aca="false">AE25</f>
        <v>0.364279398762157</v>
      </c>
      <c r="AG25" s="801" t="n">
        <f aca="false">IF(ISERROR($C25*AF25),"",ROUND($C25*AF25,0))</f>
        <v>624</v>
      </c>
      <c r="AH25" s="799" t="n">
        <f aca="false">6_Prod_Scios_Intermedios_10!G309</f>
        <v>0.0901856763925729</v>
      </c>
      <c r="AI25" s="800" t="n">
        <f aca="false">AH25</f>
        <v>0.0901856763925729</v>
      </c>
      <c r="AJ25" s="801" t="n">
        <f aca="false">IF(ISERROR($C25*AI25),"",ROUND($C25*AI25,0))</f>
        <v>154</v>
      </c>
      <c r="AK25" s="799" t="n">
        <f aca="false">6_Prod_Scios_Intermedios_10!G338</f>
        <v>11.0822281167109</v>
      </c>
      <c r="AL25" s="800" t="n">
        <f aca="false">AK25</f>
        <v>11.0822281167109</v>
      </c>
      <c r="AM25" s="801" t="n">
        <f aca="false">IF(ISERROR($C25*AL25),"",ROUND($C25*AL25,0))</f>
        <v>18984</v>
      </c>
      <c r="AN25" s="799" t="n">
        <f aca="false">6_Prod_Scios_Intermedios_10!G366</f>
        <v>0</v>
      </c>
      <c r="AO25" s="800" t="n">
        <f aca="false">AN25</f>
        <v>0</v>
      </c>
      <c r="AP25" s="801" t="n">
        <f aca="false">IF(ISERROR($C25*AO25),"",ROUND($C25*AO25,0))</f>
        <v>0</v>
      </c>
      <c r="AQ25" s="799" t="n">
        <f aca="false">6_Prod_Scios_Intermedios_10!G394</f>
        <v>0</v>
      </c>
      <c r="AR25" s="800" t="n">
        <f aca="false">AQ25</f>
        <v>0</v>
      </c>
      <c r="AS25" s="802" t="n">
        <f aca="false">IF(ISERROR($C25*AR25),"",ROUND($C25*AR25,0))</f>
        <v>0</v>
      </c>
    </row>
    <row collapsed="false" customFormat="false" customHeight="false" hidden="false" ht="14" outlineLevel="0" r="26">
      <c r="A26" s="792"/>
      <c r="B26" s="797" t="str">
        <f aca="false">6_Prod_Scios_Intermedios_10!B28</f>
        <v>Ortopedia</v>
      </c>
      <c r="C26" s="798" t="n">
        <f aca="false">17_Prog_Produc_2011!G46</f>
        <v>838</v>
      </c>
      <c r="D26" s="799" t="n">
        <f aca="false">6_Prod_Scios_Intermedios_10!G28</f>
        <v>3.21388101983003</v>
      </c>
      <c r="E26" s="800" t="n">
        <f aca="false">D26</f>
        <v>3.21388101983003</v>
      </c>
      <c r="F26" s="801" t="n">
        <f aca="false">IF(ISERROR($C26*E26),"",ROUND($C26*E26,0))</f>
        <v>2693</v>
      </c>
      <c r="G26" s="799" t="n">
        <f aca="false">6_Prod_Scios_Intermedios_10!G56</f>
        <v>0</v>
      </c>
      <c r="H26" s="800" t="n">
        <f aca="false">G26</f>
        <v>0</v>
      </c>
      <c r="I26" s="801" t="n">
        <f aca="false">IF(ISERROR($C26*H26),"",ROUND($C26*H26,0))</f>
        <v>0</v>
      </c>
      <c r="J26" s="799" t="n">
        <f aca="false">6_Prod_Scios_Intermedios_10!G84</f>
        <v>0.103399433427762</v>
      </c>
      <c r="K26" s="800" t="n">
        <f aca="false">J26</f>
        <v>0.103399433427762</v>
      </c>
      <c r="L26" s="801" t="n">
        <f aca="false">IF(ISERROR($C26*K26),"",ROUND($C26*K26,0))</f>
        <v>87</v>
      </c>
      <c r="M26" s="799" t="n">
        <f aca="false">6_Prod_Scios_Intermedios_10!G113</f>
        <v>0.998583569405099</v>
      </c>
      <c r="N26" s="800" t="n">
        <f aca="false">M26</f>
        <v>0.998583569405099</v>
      </c>
      <c r="O26" s="801" t="n">
        <f aca="false">IF(ISERROR($C26*N26),"",ROUND($C26*N26,0))</f>
        <v>837</v>
      </c>
      <c r="P26" s="799" t="n">
        <f aca="false">6_Prod_Scios_Intermedios_10!G141</f>
        <v>0</v>
      </c>
      <c r="Q26" s="800" t="n">
        <f aca="false">P26</f>
        <v>0</v>
      </c>
      <c r="R26" s="801" t="n">
        <f aca="false">IF(ISERROR($C26*Q26),"",ROUND($C26*Q26,0))</f>
        <v>0</v>
      </c>
      <c r="S26" s="799" t="n">
        <f aca="false">6_Prod_Scios_Intermedios_10!G169</f>
        <v>0.0325779036827195</v>
      </c>
      <c r="T26" s="800" t="n">
        <f aca="false">S26</f>
        <v>0.0325779036827195</v>
      </c>
      <c r="U26" s="801" t="n">
        <f aca="false">IF(ISERROR($C26*T26),"",ROUND($C26*T26,0))</f>
        <v>27</v>
      </c>
      <c r="V26" s="799" t="n">
        <f aca="false">6_Prod_Scios_Intermedios_10!G198</f>
        <v>0</v>
      </c>
      <c r="W26" s="800" t="n">
        <f aca="false">V26</f>
        <v>0</v>
      </c>
      <c r="X26" s="801" t="n">
        <f aca="false">IF(ISERROR($C26*W26),"",ROUND($C26*W26,0))</f>
        <v>0</v>
      </c>
      <c r="Y26" s="799" t="n">
        <f aca="false">6_Prod_Scios_Intermedios_10!G226</f>
        <v>0</v>
      </c>
      <c r="Z26" s="800" t="n">
        <f aca="false">Y26</f>
        <v>0</v>
      </c>
      <c r="AA26" s="801" t="n">
        <f aca="false">IF(ISERROR($C26*Z26),"",ROUND($C26*Z26,0))</f>
        <v>0</v>
      </c>
      <c r="AB26" s="799" t="n">
        <f aca="false">6_Prod_Scios_Intermedios_10!G254</f>
        <v>0</v>
      </c>
      <c r="AC26" s="800" t="n">
        <f aca="false">AB26</f>
        <v>0</v>
      </c>
      <c r="AD26" s="801" t="n">
        <f aca="false">IF(ISERROR($C26*AC26),"",ROUND($C26*AC26,0))</f>
        <v>0</v>
      </c>
      <c r="AE26" s="799" t="n">
        <f aca="false">6_Prod_Scios_Intermedios_10!G282</f>
        <v>0</v>
      </c>
      <c r="AF26" s="800" t="n">
        <f aca="false">AE26</f>
        <v>0</v>
      </c>
      <c r="AG26" s="801" t="n">
        <f aca="false">IF(ISERROR($C26*AF26),"",ROUND($C26*AF26,0))</f>
        <v>0</v>
      </c>
      <c r="AH26" s="799" t="n">
        <f aca="false">6_Prod_Scios_Intermedios_10!G310</f>
        <v>0.0594900849858357</v>
      </c>
      <c r="AI26" s="800" t="n">
        <f aca="false">AH26</f>
        <v>0.0594900849858357</v>
      </c>
      <c r="AJ26" s="801" t="n">
        <f aca="false">IF(ISERROR($C26*AI26),"",ROUND($C26*AI26,0))</f>
        <v>50</v>
      </c>
      <c r="AK26" s="799" t="n">
        <f aca="false">6_Prod_Scios_Intermedios_10!G339</f>
        <v>19.157223796034</v>
      </c>
      <c r="AL26" s="800" t="n">
        <f aca="false">AK26</f>
        <v>19.157223796034</v>
      </c>
      <c r="AM26" s="801" t="n">
        <f aca="false">IF(ISERROR($C26*AL26),"",ROUND($C26*AL26,0))</f>
        <v>16054</v>
      </c>
      <c r="AN26" s="799" t="n">
        <f aca="false">6_Prod_Scios_Intermedios_10!G367</f>
        <v>0.538243626062323</v>
      </c>
      <c r="AO26" s="800" t="n">
        <f aca="false">AN26</f>
        <v>0.538243626062323</v>
      </c>
      <c r="AP26" s="801" t="n">
        <f aca="false">IF(ISERROR($C26*AO26),"",ROUND($C26*AO26,0))</f>
        <v>451</v>
      </c>
      <c r="AQ26" s="799" t="n">
        <f aca="false">6_Prod_Scios_Intermedios_10!G395</f>
        <v>0</v>
      </c>
      <c r="AR26" s="800" t="n">
        <f aca="false">AQ26</f>
        <v>0</v>
      </c>
      <c r="AS26" s="802" t="n">
        <f aca="false">IF(ISERROR($C26*AR26),"",ROUND($C26*AR26,0))</f>
        <v>0</v>
      </c>
    </row>
    <row collapsed="false" customFormat="false" customHeight="false" hidden="false" ht="14" outlineLevel="0" r="27">
      <c r="A27" s="792"/>
      <c r="B27" s="797" t="str">
        <f aca="false">6_Prod_Scios_Intermedios_10!B29</f>
        <v>Otros Servicios (Convenios / BM / ISSS)</v>
      </c>
      <c r="C27" s="798" t="n">
        <f aca="false">17_Prog_Produc_2011!G47</f>
        <v>1213</v>
      </c>
      <c r="D27" s="799" t="n">
        <f aca="false">6_Prod_Scios_Intermedios_10!G29</f>
        <v>10.4715750232992</v>
      </c>
      <c r="E27" s="800" t="n">
        <f aca="false">D27</f>
        <v>10.4715750232992</v>
      </c>
      <c r="F27" s="801" t="n">
        <f aca="false">IF(ISERROR($C27*E27),"",ROUND($C27*E27,0))</f>
        <v>12702</v>
      </c>
      <c r="G27" s="799" t="n">
        <f aca="false">6_Prod_Scios_Intermedios_10!G57</f>
        <v>0</v>
      </c>
      <c r="H27" s="800" t="n">
        <f aca="false">G27</f>
        <v>0</v>
      </c>
      <c r="I27" s="801" t="n">
        <f aca="false">IF(ISERROR($C27*H27),"",ROUND($C27*H27,0))</f>
        <v>0</v>
      </c>
      <c r="J27" s="799" t="n">
        <f aca="false">6_Prod_Scios_Intermedios_10!G85</f>
        <v>0.0102516309412861</v>
      </c>
      <c r="K27" s="800" t="n">
        <f aca="false">J27</f>
        <v>0.0102516309412861</v>
      </c>
      <c r="L27" s="801" t="n">
        <f aca="false">IF(ISERROR($C27*K27),"",ROUND($C27*K27,0))</f>
        <v>12</v>
      </c>
      <c r="M27" s="799" t="n">
        <f aca="false">6_Prod_Scios_Intermedios_10!G114</f>
        <v>0.31780055917987</v>
      </c>
      <c r="N27" s="800" t="n">
        <f aca="false">M27</f>
        <v>0.31780055917987</v>
      </c>
      <c r="O27" s="801" t="n">
        <f aca="false">IF(ISERROR($C27*N27),"",ROUND($C27*N27,0))</f>
        <v>385</v>
      </c>
      <c r="P27" s="799" t="n">
        <f aca="false">6_Prod_Scios_Intermedios_10!G142</f>
        <v>0.144454799627213</v>
      </c>
      <c r="Q27" s="800" t="n">
        <f aca="false">P27</f>
        <v>0.144454799627213</v>
      </c>
      <c r="R27" s="801" t="n">
        <f aca="false">IF(ISERROR($C27*Q27),"",ROUND($C27*Q27,0))</f>
        <v>175</v>
      </c>
      <c r="S27" s="799" t="n">
        <f aca="false">6_Prod_Scios_Intermedios_10!G170</f>
        <v>0.0177073625349487</v>
      </c>
      <c r="T27" s="800" t="n">
        <f aca="false">S27</f>
        <v>0.0177073625349487</v>
      </c>
      <c r="U27" s="801" t="n">
        <f aca="false">IF(ISERROR($C27*T27),"",ROUND($C27*T27,0))</f>
        <v>21</v>
      </c>
      <c r="V27" s="799" t="n">
        <f aca="false">6_Prod_Scios_Intermedios_10!G199</f>
        <v>0</v>
      </c>
      <c r="W27" s="800" t="n">
        <f aca="false">V27</f>
        <v>0</v>
      </c>
      <c r="X27" s="801" t="n">
        <f aca="false">IF(ISERROR($C27*W27),"",ROUND($C27*W27,0))</f>
        <v>0</v>
      </c>
      <c r="Y27" s="799" t="n">
        <f aca="false">6_Prod_Scios_Intermedios_10!G227</f>
        <v>0.0149114631873253</v>
      </c>
      <c r="Z27" s="800" t="n">
        <f aca="false">Y27</f>
        <v>0.0149114631873253</v>
      </c>
      <c r="AA27" s="801" t="n">
        <f aca="false">IF(ISERROR($C27*Z27),"",ROUND($C27*Z27,0))</f>
        <v>18</v>
      </c>
      <c r="AB27" s="799" t="n">
        <f aca="false">6_Prod_Scios_Intermedios_10!G255</f>
        <v>0</v>
      </c>
      <c r="AC27" s="800" t="n">
        <f aca="false">AB27</f>
        <v>0</v>
      </c>
      <c r="AD27" s="801" t="n">
        <f aca="false">IF(ISERROR($C27*AC27),"",ROUND($C27*AC27,0))</f>
        <v>0</v>
      </c>
      <c r="AE27" s="799" t="n">
        <f aca="false">6_Prod_Scios_Intermedios_10!G283</f>
        <v>0</v>
      </c>
      <c r="AF27" s="800" t="n">
        <f aca="false">AE27</f>
        <v>0</v>
      </c>
      <c r="AG27" s="801" t="n">
        <f aca="false">IF(ISERROR($C27*AF27),"",ROUND($C27*AF27,0))</f>
        <v>0</v>
      </c>
      <c r="AH27" s="799" t="n">
        <f aca="false">6_Prod_Scios_Intermedios_10!G311</f>
        <v>0.103448275862069</v>
      </c>
      <c r="AI27" s="800" t="n">
        <f aca="false">AH27</f>
        <v>0.103448275862069</v>
      </c>
      <c r="AJ27" s="801" t="n">
        <f aca="false">IF(ISERROR($C27*AI27),"",ROUND($C27*AI27,0))</f>
        <v>125</v>
      </c>
      <c r="AK27" s="799" t="n">
        <f aca="false">6_Prod_Scios_Intermedios_10!G340</f>
        <v>1</v>
      </c>
      <c r="AL27" s="800" t="n">
        <f aca="false">AK27</f>
        <v>1</v>
      </c>
      <c r="AM27" s="801" t="n">
        <f aca="false">IF(ISERROR($C27*AL27),"",ROUND($C27*AL27,0))</f>
        <v>1213</v>
      </c>
      <c r="AN27" s="799" t="n">
        <f aca="false">6_Prod_Scios_Intermedios_10!G368</f>
        <v>0.0941286113699907</v>
      </c>
      <c r="AO27" s="800" t="n">
        <f aca="false">AN27</f>
        <v>0.0941286113699907</v>
      </c>
      <c r="AP27" s="801" t="n">
        <f aca="false">IF(ISERROR($C27*AO27),"",ROUND($C27*AO27,0))</f>
        <v>114</v>
      </c>
      <c r="AQ27" s="799" t="n">
        <f aca="false">6_Prod_Scios_Intermedios_10!G396</f>
        <v>0</v>
      </c>
      <c r="AR27" s="800" t="n">
        <f aca="false">AQ27</f>
        <v>0</v>
      </c>
      <c r="AS27" s="802" t="n">
        <f aca="false">IF(ISERROR($C27*AR27),"",ROUND($C27*AR27,0))</f>
        <v>0</v>
      </c>
    </row>
    <row collapsed="false" customFormat="false" customHeight="false" hidden="false" ht="14" outlineLevel="0" r="28">
      <c r="A28" s="792"/>
      <c r="B28" s="806" t="str">
        <f aca="false">6_Prod_Scios_Intermedios_10!B30</f>
        <v>Cuidados Criticos</v>
      </c>
      <c r="C28" s="807"/>
      <c r="D28" s="807"/>
      <c r="E28" s="808"/>
      <c r="F28" s="809"/>
      <c r="G28" s="807"/>
      <c r="H28" s="808"/>
      <c r="I28" s="809"/>
      <c r="J28" s="807"/>
      <c r="K28" s="808"/>
      <c r="L28" s="809"/>
      <c r="M28" s="807"/>
      <c r="N28" s="808"/>
      <c r="O28" s="809"/>
      <c r="P28" s="807"/>
      <c r="Q28" s="808"/>
      <c r="R28" s="809"/>
      <c r="S28" s="807"/>
      <c r="T28" s="808"/>
      <c r="U28" s="809"/>
      <c r="V28" s="807"/>
      <c r="W28" s="808"/>
      <c r="X28" s="809"/>
      <c r="Y28" s="807"/>
      <c r="Z28" s="808"/>
      <c r="AA28" s="809"/>
      <c r="AB28" s="807"/>
      <c r="AC28" s="808"/>
      <c r="AD28" s="809"/>
      <c r="AE28" s="807"/>
      <c r="AF28" s="808"/>
      <c r="AG28" s="809"/>
      <c r="AH28" s="807"/>
      <c r="AI28" s="808"/>
      <c r="AJ28" s="809"/>
      <c r="AK28" s="807"/>
      <c r="AL28" s="808"/>
      <c r="AM28" s="809"/>
      <c r="AN28" s="807"/>
      <c r="AO28" s="808"/>
      <c r="AP28" s="809"/>
      <c r="AQ28" s="807"/>
      <c r="AR28" s="808"/>
      <c r="AS28" s="810"/>
    </row>
    <row collapsed="false" customFormat="false" customHeight="false" hidden="false" ht="14" outlineLevel="0" r="29">
      <c r="A29" s="792"/>
      <c r="B29" s="797" t="str">
        <f aca="false">6_Prod_Scios_Intermedios_10!B31</f>
        <v>Unidad de Cuidados Intensivos</v>
      </c>
      <c r="C29" s="798" t="n">
        <f aca="false">17_Prog_Produc_2011!G54</f>
        <v>942</v>
      </c>
      <c r="D29" s="799" t="n">
        <f aca="false">6_Prod_Scios_Intermedios_10!G31</f>
        <v>89.9978401727862</v>
      </c>
      <c r="E29" s="800" t="n">
        <f aca="false">D29</f>
        <v>89.9978401727862</v>
      </c>
      <c r="F29" s="801" t="n">
        <f aca="false">IF(ISERROR($C29*E29),"",ROUND($C29*E29,0))</f>
        <v>84778</v>
      </c>
      <c r="G29" s="799" t="n">
        <f aca="false">6_Prod_Scios_Intermedios_10!G59</f>
        <v>0.00647948164146868</v>
      </c>
      <c r="H29" s="800" t="n">
        <f aca="false">G29</f>
        <v>0.00647948164146868</v>
      </c>
      <c r="I29" s="801" t="n">
        <f aca="false">IF(ISERROR($C29*H29),"",ROUND($C29*H29,0))</f>
        <v>6</v>
      </c>
      <c r="J29" s="799" t="n">
        <f aca="false">6_Prod_Scios_Intermedios_10!G87</f>
        <v>3.94276457883369</v>
      </c>
      <c r="K29" s="800" t="n">
        <f aca="false">J29</f>
        <v>3.94276457883369</v>
      </c>
      <c r="L29" s="801" t="n">
        <f aca="false">IF(ISERROR($C29*K29),"",ROUND($C29*K29,0))</f>
        <v>3714</v>
      </c>
      <c r="M29" s="799" t="n">
        <f aca="false">6_Prod_Scios_Intermedios_10!G116</f>
        <v>4.92764578833693</v>
      </c>
      <c r="N29" s="800" t="n">
        <f aca="false">M29</f>
        <v>4.92764578833693</v>
      </c>
      <c r="O29" s="801" t="n">
        <f aca="false">IF(ISERROR($C29*N29),"",ROUND($C29*N29,0))</f>
        <v>4642</v>
      </c>
      <c r="P29" s="799" t="n">
        <f aca="false">6_Prod_Scios_Intermedios_10!G144</f>
        <v>0.123110151187905</v>
      </c>
      <c r="Q29" s="800" t="n">
        <f aca="false">P29</f>
        <v>0.123110151187905</v>
      </c>
      <c r="R29" s="801" t="n">
        <f aca="false">IF(ISERROR($C29*Q29),"",ROUND($C29*Q29,0))</f>
        <v>116</v>
      </c>
      <c r="S29" s="799" t="n">
        <f aca="false">6_Prod_Scios_Intermedios_10!G172</f>
        <v>0.153347732181425</v>
      </c>
      <c r="T29" s="800" t="n">
        <f aca="false">S29</f>
        <v>0.153347732181425</v>
      </c>
      <c r="U29" s="801" t="n">
        <f aca="false">IF(ISERROR($C29*T29),"",ROUND($C29*T29,0))</f>
        <v>144</v>
      </c>
      <c r="V29" s="799" t="n">
        <f aca="false">6_Prod_Scios_Intermedios_10!G201</f>
        <v>0.0140388768898488</v>
      </c>
      <c r="W29" s="800" t="n">
        <f aca="false">V29</f>
        <v>0.0140388768898488</v>
      </c>
      <c r="X29" s="801" t="n">
        <f aca="false">IF(ISERROR($C29*W29),"",ROUND($C29*W29,0))</f>
        <v>13</v>
      </c>
      <c r="Y29" s="799" t="n">
        <f aca="false">6_Prod_Scios_Intermedios_10!G229</f>
        <v>0.00971922246220302</v>
      </c>
      <c r="Z29" s="800" t="n">
        <f aca="false">Y29</f>
        <v>0.00971922246220302</v>
      </c>
      <c r="AA29" s="801" t="n">
        <f aca="false">IF(ISERROR($C29*Z29),"",ROUND($C29*Z29,0))</f>
        <v>9</v>
      </c>
      <c r="AB29" s="799" t="n">
        <f aca="false">6_Prod_Scios_Intermedios_10!G257</f>
        <v>0</v>
      </c>
      <c r="AC29" s="800" t="n">
        <f aca="false">AB29</f>
        <v>0</v>
      </c>
      <c r="AD29" s="801" t="n">
        <f aca="false">IF(ISERROR($C29*AC29),"",ROUND($C29*AC29,0))</f>
        <v>0</v>
      </c>
      <c r="AE29" s="799" t="n">
        <f aca="false">6_Prod_Scios_Intermedios_10!G285</f>
        <v>0</v>
      </c>
      <c r="AF29" s="800" t="n">
        <f aca="false">AE29</f>
        <v>0</v>
      </c>
      <c r="AG29" s="801" t="n">
        <f aca="false">IF(ISERROR($C29*AF29),"",ROUND($C29*AF29,0))</f>
        <v>0</v>
      </c>
      <c r="AH29" s="799" t="n">
        <f aca="false">6_Prod_Scios_Intermedios_10!G313</f>
        <v>0.0572354211663067</v>
      </c>
      <c r="AI29" s="800" t="n">
        <f aca="false">AH29</f>
        <v>0.0572354211663067</v>
      </c>
      <c r="AJ29" s="801" t="n">
        <f aca="false">IF(ISERROR($C29*AI29),"",ROUND($C29*AI29,0))</f>
        <v>54</v>
      </c>
      <c r="AK29" s="799" t="n">
        <f aca="false">6_Prod_Scios_Intermedios_10!G342</f>
        <v>48.9168466522678</v>
      </c>
      <c r="AL29" s="800" t="n">
        <f aca="false">AK29</f>
        <v>48.9168466522678</v>
      </c>
      <c r="AM29" s="801" t="n">
        <f aca="false">IF(ISERROR($C29*AL29),"",ROUND($C29*AL29,0))</f>
        <v>46080</v>
      </c>
      <c r="AN29" s="799" t="n">
        <f aca="false">6_Prod_Scios_Intermedios_10!G370</f>
        <v>1.19438444924406</v>
      </c>
      <c r="AO29" s="800" t="n">
        <f aca="false">AN29</f>
        <v>1.19438444924406</v>
      </c>
      <c r="AP29" s="801" t="n">
        <f aca="false">IF(ISERROR($C29*AO29),"",ROUND($C29*AO29,0))</f>
        <v>1125</v>
      </c>
      <c r="AQ29" s="799" t="n">
        <f aca="false">6_Prod_Scios_Intermedios_10!G398</f>
        <v>0.298056155507559</v>
      </c>
      <c r="AR29" s="800" t="n">
        <f aca="false">AQ29</f>
        <v>0.298056155507559</v>
      </c>
      <c r="AS29" s="802" t="n">
        <f aca="false">IF(ISERROR($C29*AR29),"",ROUND($C29*AR29,0))</f>
        <v>281</v>
      </c>
    </row>
    <row collapsed="false" customFormat="false" customHeight="false" hidden="false" ht="14" outlineLevel="0" r="30">
      <c r="A30" s="792"/>
      <c r="B30" s="797" t="str">
        <f aca="false">6_Prod_Scios_Intermedios_10!B32</f>
        <v>Unidad de Cuidados Intermedios</v>
      </c>
      <c r="C30" s="798" t="n">
        <f aca="false">17_Prog_Produc_2011!G55</f>
        <v>244</v>
      </c>
      <c r="D30" s="799" t="n">
        <f aca="false">6_Prod_Scios_Intermedios_10!G32</f>
        <v>69.0931174089069</v>
      </c>
      <c r="E30" s="800" t="n">
        <f aca="false">D30</f>
        <v>69.0931174089069</v>
      </c>
      <c r="F30" s="801" t="n">
        <f aca="false">IF(ISERROR($C30*E30),"",ROUND($C30*E30,0))</f>
        <v>16859</v>
      </c>
      <c r="G30" s="799" t="n">
        <f aca="false">6_Prod_Scios_Intermedios_10!G60</f>
        <v>0.00404858299595142</v>
      </c>
      <c r="H30" s="800" t="n">
        <f aca="false">G30</f>
        <v>0.00404858299595142</v>
      </c>
      <c r="I30" s="801" t="n">
        <f aca="false">IF(ISERROR($C30*H30),"",ROUND($C30*H30,0))</f>
        <v>1</v>
      </c>
      <c r="J30" s="799" t="n">
        <f aca="false">6_Prod_Scios_Intermedios_10!G88</f>
        <v>2.87854251012146</v>
      </c>
      <c r="K30" s="800" t="n">
        <f aca="false">J30</f>
        <v>2.87854251012146</v>
      </c>
      <c r="L30" s="801" t="n">
        <f aca="false">IF(ISERROR($C30*K30),"",ROUND($C30*K30,0))</f>
        <v>702</v>
      </c>
      <c r="M30" s="799" t="n">
        <f aca="false">6_Prod_Scios_Intermedios_10!G117</f>
        <v>4.49797570850202</v>
      </c>
      <c r="N30" s="800" t="n">
        <f aca="false">M30</f>
        <v>4.49797570850202</v>
      </c>
      <c r="O30" s="801" t="n">
        <f aca="false">IF(ISERROR($C30*N30),"",ROUND($C30*N30,0))</f>
        <v>1098</v>
      </c>
      <c r="P30" s="799" t="n">
        <f aca="false">6_Prod_Scios_Intermedios_10!G145</f>
        <v>0.218623481781376</v>
      </c>
      <c r="Q30" s="800" t="n">
        <f aca="false">P30</f>
        <v>0.218623481781376</v>
      </c>
      <c r="R30" s="801" t="n">
        <f aca="false">IF(ISERROR($C30*Q30),"",ROUND($C30*Q30,0))</f>
        <v>53</v>
      </c>
      <c r="S30" s="799" t="n">
        <f aca="false">6_Prod_Scios_Intermedios_10!G173</f>
        <v>0.137651821862348</v>
      </c>
      <c r="T30" s="800" t="n">
        <f aca="false">S30</f>
        <v>0.137651821862348</v>
      </c>
      <c r="U30" s="801" t="n">
        <f aca="false">IF(ISERROR($C30*T30),"",ROUND($C30*T30,0))</f>
        <v>34</v>
      </c>
      <c r="V30" s="799" t="n">
        <f aca="false">6_Prod_Scios_Intermedios_10!G202</f>
        <v>0.0242914979757085</v>
      </c>
      <c r="W30" s="800" t="n">
        <f aca="false">V30</f>
        <v>0.0242914979757085</v>
      </c>
      <c r="X30" s="801" t="n">
        <f aca="false">IF(ISERROR($C30*W30),"",ROUND($C30*W30,0))</f>
        <v>6</v>
      </c>
      <c r="Y30" s="799" t="n">
        <f aca="false">6_Prod_Scios_Intermedios_10!G230</f>
        <v>0.0809716599190283</v>
      </c>
      <c r="Z30" s="800" t="n">
        <f aca="false">Y30</f>
        <v>0.0809716599190283</v>
      </c>
      <c r="AA30" s="801" t="n">
        <f aca="false">IF(ISERROR($C30*Z30),"",ROUND($C30*Z30,0))</f>
        <v>20</v>
      </c>
      <c r="AB30" s="799" t="n">
        <f aca="false">6_Prod_Scios_Intermedios_10!G258</f>
        <v>0</v>
      </c>
      <c r="AC30" s="800" t="n">
        <f aca="false">AB30</f>
        <v>0</v>
      </c>
      <c r="AD30" s="801" t="n">
        <f aca="false">IF(ISERROR($C30*AC30),"",ROUND($C30*AC30,0))</f>
        <v>0</v>
      </c>
      <c r="AE30" s="799" t="n">
        <f aca="false">6_Prod_Scios_Intermedios_10!G286</f>
        <v>0</v>
      </c>
      <c r="AF30" s="800" t="n">
        <f aca="false">AE30</f>
        <v>0</v>
      </c>
      <c r="AG30" s="801" t="n">
        <f aca="false">IF(ISERROR($C30*AF30),"",ROUND($C30*AF30,0))</f>
        <v>0</v>
      </c>
      <c r="AH30" s="799" t="n">
        <f aca="false">6_Prod_Scios_Intermedios_10!G314</f>
        <v>0.0202429149797571</v>
      </c>
      <c r="AI30" s="800" t="n">
        <f aca="false">AH30</f>
        <v>0.0202429149797571</v>
      </c>
      <c r="AJ30" s="801" t="n">
        <f aca="false">IF(ISERROR($C30*AI30),"",ROUND($C30*AI30,0))</f>
        <v>5</v>
      </c>
      <c r="AK30" s="799" t="n">
        <f aca="false">6_Prod_Scios_Intermedios_10!G343</f>
        <v>53.7894736842105</v>
      </c>
      <c r="AL30" s="800" t="n">
        <f aca="false">AK30</f>
        <v>53.7894736842105</v>
      </c>
      <c r="AM30" s="801" t="n">
        <f aca="false">IF(ISERROR($C30*AL30),"",ROUND($C30*AL30,0))</f>
        <v>13125</v>
      </c>
      <c r="AN30" s="799" t="n">
        <f aca="false">6_Prod_Scios_Intermedios_10!G371</f>
        <v>2.16599190283401</v>
      </c>
      <c r="AO30" s="800" t="n">
        <f aca="false">AN30</f>
        <v>2.16599190283401</v>
      </c>
      <c r="AP30" s="801" t="n">
        <f aca="false">IF(ISERROR($C30*AO30),"",ROUND($C30*AO30,0))</f>
        <v>529</v>
      </c>
      <c r="AQ30" s="799" t="n">
        <f aca="false">6_Prod_Scios_Intermedios_10!G399</f>
        <v>0.340080971659919</v>
      </c>
      <c r="AR30" s="800" t="n">
        <f aca="false">AQ30</f>
        <v>0.340080971659919</v>
      </c>
      <c r="AS30" s="802" t="n">
        <f aca="false">IF(ISERROR($C30*AR30),"",ROUND($C30*AR30,0))</f>
        <v>83</v>
      </c>
    </row>
    <row collapsed="false" customFormat="false" customHeight="false" hidden="false" ht="14" outlineLevel="0" r="31">
      <c r="A31" s="792"/>
      <c r="B31" s="811" t="str">
        <f aca="false">6_Prod_Scios_Intermedios_10!B33</f>
        <v>Unidad de Cuidados Intensivos Neonatales</v>
      </c>
      <c r="C31" s="812" t="n">
        <f aca="false">17_Prog_Produc_2011!G56</f>
        <v>474</v>
      </c>
      <c r="D31" s="813" t="n">
        <f aca="false">6_Prod_Scios_Intermedios_10!G33</f>
        <v>68.1641791044776</v>
      </c>
      <c r="E31" s="814" t="n">
        <f aca="false">D31</f>
        <v>68.1641791044776</v>
      </c>
      <c r="F31" s="815" t="n">
        <f aca="false">IF(ISERROR($C31*E31),"",ROUND($C31*E31,0))</f>
        <v>32310</v>
      </c>
      <c r="G31" s="813" t="n">
        <f aca="false">6_Prod_Scios_Intermedios_10!G61</f>
        <v>0.00213219616204691</v>
      </c>
      <c r="H31" s="814" t="n">
        <f aca="false">G31</f>
        <v>0.00213219616204691</v>
      </c>
      <c r="I31" s="815" t="n">
        <f aca="false">IF(ISERROR($C31*H31),"",ROUND($C31*H31,0))</f>
        <v>1</v>
      </c>
      <c r="J31" s="813" t="n">
        <f aca="false">6_Prod_Scios_Intermedios_10!G89</f>
        <v>2.32196162046908</v>
      </c>
      <c r="K31" s="814" t="n">
        <f aca="false">J31</f>
        <v>2.32196162046908</v>
      </c>
      <c r="L31" s="815" t="n">
        <f aca="false">IF(ISERROR($C31*K31),"",ROUND($C31*K31,0))</f>
        <v>1101</v>
      </c>
      <c r="M31" s="813" t="n">
        <f aca="false">6_Prod_Scios_Intermedios_10!G118</f>
        <v>8.38805970149254</v>
      </c>
      <c r="N31" s="814" t="n">
        <f aca="false">M31</f>
        <v>8.38805970149254</v>
      </c>
      <c r="O31" s="815" t="n">
        <f aca="false">IF(ISERROR($C31*N31),"",ROUND($C31*N31,0))</f>
        <v>3976</v>
      </c>
      <c r="P31" s="813" t="n">
        <f aca="false">6_Prod_Scios_Intermedios_10!G146</f>
        <v>0.916844349680171</v>
      </c>
      <c r="Q31" s="814" t="n">
        <f aca="false">P31</f>
        <v>0.916844349680171</v>
      </c>
      <c r="R31" s="815" t="n">
        <f aca="false">IF(ISERROR($C31*Q31),"",ROUND($C31*Q31,0))</f>
        <v>435</v>
      </c>
      <c r="S31" s="813" t="n">
        <f aca="false">6_Prod_Scios_Intermedios_10!G174</f>
        <v>0.0213219616204691</v>
      </c>
      <c r="T31" s="814" t="n">
        <f aca="false">S31</f>
        <v>0.0213219616204691</v>
      </c>
      <c r="U31" s="815" t="n">
        <f aca="false">IF(ISERROR($C31*T31),"",ROUND($C31*T31,0))</f>
        <v>10</v>
      </c>
      <c r="V31" s="813" t="n">
        <f aca="false">6_Prod_Scios_Intermedios_10!G203</f>
        <v>0.00213219616204691</v>
      </c>
      <c r="W31" s="814" t="n">
        <f aca="false">V31</f>
        <v>0.00213219616204691</v>
      </c>
      <c r="X31" s="815" t="n">
        <f aca="false">IF(ISERROR($C31*W31),"",ROUND($C31*W31,0))</f>
        <v>1</v>
      </c>
      <c r="Y31" s="813" t="n">
        <f aca="false">6_Prod_Scios_Intermedios_10!G231</f>
        <v>0.170575692963753</v>
      </c>
      <c r="Z31" s="814" t="n">
        <f aca="false">Y31</f>
        <v>0.170575692963753</v>
      </c>
      <c r="AA31" s="815" t="n">
        <f aca="false">IF(ISERROR($C31*Z31),"",ROUND($C31*Z31,0))</f>
        <v>81</v>
      </c>
      <c r="AB31" s="813" t="n">
        <f aca="false">6_Prod_Scios_Intermedios_10!G259</f>
        <v>0</v>
      </c>
      <c r="AC31" s="814" t="n">
        <f aca="false">AB31</f>
        <v>0</v>
      </c>
      <c r="AD31" s="815" t="n">
        <f aca="false">IF(ISERROR($C31*AC31),"",ROUND($C31*AC31,0))</f>
        <v>0</v>
      </c>
      <c r="AE31" s="813" t="n">
        <f aca="false">6_Prod_Scios_Intermedios_10!G287</f>
        <v>0</v>
      </c>
      <c r="AF31" s="814" t="n">
        <f aca="false">AE31</f>
        <v>0</v>
      </c>
      <c r="AG31" s="815" t="n">
        <f aca="false">IF(ISERROR($C31*AF31),"",ROUND($C31*AF31,0))</f>
        <v>0</v>
      </c>
      <c r="AH31" s="813" t="n">
        <f aca="false">6_Prod_Scios_Intermedios_10!G315</f>
        <v>0.0660980810234542</v>
      </c>
      <c r="AI31" s="814" t="n">
        <f aca="false">AH31</f>
        <v>0.0660980810234542</v>
      </c>
      <c r="AJ31" s="815" t="n">
        <f aca="false">IF(ISERROR($C31*AI31),"",ROUND($C31*AI31,0))</f>
        <v>31</v>
      </c>
      <c r="AK31" s="813" t="n">
        <f aca="false">6_Prod_Scios_Intermedios_10!G344</f>
        <v>30.8614072494669</v>
      </c>
      <c r="AL31" s="814" t="n">
        <f aca="false">AK31</f>
        <v>30.8614072494669</v>
      </c>
      <c r="AM31" s="815" t="n">
        <f aca="false">IF(ISERROR($C31*AL31),"",ROUND($C31*AL31,0))</f>
        <v>14628</v>
      </c>
      <c r="AN31" s="813" t="n">
        <f aca="false">6_Prod_Scios_Intermedios_10!G372</f>
        <v>0</v>
      </c>
      <c r="AO31" s="814" t="n">
        <f aca="false">AN31</f>
        <v>0</v>
      </c>
      <c r="AP31" s="815" t="n">
        <f aca="false">IF(ISERROR($C31*AO31),"",ROUND($C31*AO31,0))</f>
        <v>0</v>
      </c>
      <c r="AQ31" s="813" t="n">
        <f aca="false">6_Prod_Scios_Intermedios_10!G400</f>
        <v>2.86993603411514</v>
      </c>
      <c r="AR31" s="814" t="n">
        <f aca="false">AQ31</f>
        <v>2.86993603411514</v>
      </c>
      <c r="AS31" s="816" t="n">
        <f aca="false">IF(ISERROR($C31*AR31),"",ROUND($C31*AR31,0))</f>
        <v>1360</v>
      </c>
    </row>
    <row collapsed="false" customFormat="false" customHeight="false" hidden="false" ht="14" outlineLevel="0" r="32">
      <c r="A32" s="783"/>
      <c r="B32" s="817"/>
      <c r="C32" s="818"/>
      <c r="D32" s="818"/>
      <c r="E32" s="818"/>
      <c r="F32" s="819"/>
      <c r="G32" s="818"/>
      <c r="H32" s="818"/>
      <c r="I32" s="819"/>
      <c r="J32" s="818"/>
      <c r="K32" s="818"/>
      <c r="L32" s="819"/>
      <c r="M32" s="818"/>
      <c r="N32" s="818"/>
      <c r="O32" s="819"/>
      <c r="P32" s="818"/>
      <c r="Q32" s="818"/>
      <c r="R32" s="820"/>
      <c r="S32" s="818"/>
      <c r="T32" s="818"/>
      <c r="U32" s="819"/>
      <c r="V32" s="818"/>
      <c r="W32" s="818"/>
      <c r="X32" s="819"/>
      <c r="Y32" s="818"/>
      <c r="Z32" s="818"/>
      <c r="AA32" s="819"/>
      <c r="AB32" s="818"/>
      <c r="AC32" s="818"/>
      <c r="AD32" s="819"/>
      <c r="AE32" s="818"/>
      <c r="AF32" s="818"/>
      <c r="AG32" s="819"/>
      <c r="AH32" s="818"/>
      <c r="AI32" s="818"/>
      <c r="AJ32" s="819"/>
      <c r="AK32" s="818"/>
      <c r="AL32" s="818"/>
      <c r="AM32" s="819"/>
      <c r="AN32" s="818"/>
      <c r="AO32" s="818"/>
      <c r="AP32" s="819"/>
      <c r="AQ32" s="818"/>
      <c r="AR32" s="818"/>
      <c r="AS32" s="819"/>
    </row>
    <row collapsed="false" customFormat="false" customHeight="false" hidden="false" ht="15.65" outlineLevel="0" r="33">
      <c r="A33" s="783"/>
      <c r="B33" s="821" t="s">
        <v>226</v>
      </c>
      <c r="C33" s="668"/>
      <c r="D33" s="668"/>
      <c r="E33" s="668"/>
      <c r="F33" s="822" t="n">
        <f aca="false">SUM(F6:F31)</f>
        <v>569646</v>
      </c>
      <c r="G33" s="668"/>
      <c r="H33" s="668"/>
      <c r="I33" s="822" t="n">
        <f aca="false">SUM(I6:I31)</f>
        <v>1949</v>
      </c>
      <c r="J33" s="668"/>
      <c r="K33" s="668"/>
      <c r="L33" s="822" t="n">
        <f aca="false">SUM(L6:L31)</f>
        <v>21779</v>
      </c>
      <c r="M33" s="668"/>
      <c r="N33" s="668"/>
      <c r="O33" s="822" t="n">
        <f aca="false">SUM(O6:O31)</f>
        <v>46658</v>
      </c>
      <c r="P33" s="668"/>
      <c r="Q33" s="668"/>
      <c r="R33" s="822" t="n">
        <f aca="false">SUM(R6:R31)</f>
        <v>170017</v>
      </c>
      <c r="S33" s="668"/>
      <c r="T33" s="668"/>
      <c r="U33" s="822" t="n">
        <f aca="false">SUM(U6:U31)</f>
        <v>1439</v>
      </c>
      <c r="V33" s="668"/>
      <c r="W33" s="668"/>
      <c r="X33" s="822" t="n">
        <f aca="false">SUM(X6:X31)</f>
        <v>287</v>
      </c>
      <c r="Y33" s="668"/>
      <c r="Z33" s="668"/>
      <c r="AA33" s="822" t="n">
        <f aca="false">SUM(AA6:AA31)</f>
        <v>167903</v>
      </c>
      <c r="AB33" s="668"/>
      <c r="AC33" s="668"/>
      <c r="AD33" s="822" t="n">
        <f aca="false">SUM(AD6:AD31)</f>
        <v>1331</v>
      </c>
      <c r="AE33" s="668"/>
      <c r="AF33" s="668"/>
      <c r="AG33" s="822" t="n">
        <f aca="false">SUM(AG6:AG31)</f>
        <v>3805</v>
      </c>
      <c r="AH33" s="668"/>
      <c r="AI33" s="668"/>
      <c r="AJ33" s="822" t="n">
        <f aca="false">SUM(AJ6:AJ31)</f>
        <v>2771</v>
      </c>
      <c r="AK33" s="668"/>
      <c r="AL33" s="668"/>
      <c r="AM33" s="822" t="n">
        <f aca="false">SUM(AM6:AM31)</f>
        <v>460180</v>
      </c>
      <c r="AN33" s="668"/>
      <c r="AO33" s="668"/>
      <c r="AP33" s="822" t="n">
        <f aca="false">SUM(AP6:AP31)</f>
        <v>10654</v>
      </c>
      <c r="AQ33" s="668"/>
      <c r="AR33" s="668"/>
      <c r="AS33" s="822" t="n">
        <f aca="false">SUM(AS6:AS31)</f>
        <v>9676</v>
      </c>
    </row>
  </sheetData>
  <mergeCells count="16">
    <mergeCell ref="B3:B4"/>
    <mergeCell ref="C3:C4"/>
    <mergeCell ref="D3:E3"/>
    <mergeCell ref="G3:H3"/>
    <mergeCell ref="J3:K3"/>
    <mergeCell ref="M3:N3"/>
    <mergeCell ref="P3:Q3"/>
    <mergeCell ref="S3:T3"/>
    <mergeCell ref="V3:W3"/>
    <mergeCell ref="Y3:Z3"/>
    <mergeCell ref="AB3:AC3"/>
    <mergeCell ref="AE3:AF3"/>
    <mergeCell ref="AH3:AI3"/>
    <mergeCell ref="AK3:AL3"/>
    <mergeCell ref="AN3:AO3"/>
    <mergeCell ref="AQ3:AR3"/>
  </mergeCells>
  <printOptions headings="false" gridLines="false" gridLinesSet="true" horizontalCentered="false" verticalCentered="false"/>
  <pageMargins left="0.708333333333333" right="0.157638888888889" top="0.747916666666667" bottom="0.865972222222222" header="0.511805555555555" footer="0.511805555555555"/>
  <pageSetup blackAndWhite="false" cellComments="none" copies="1" draft="false" firstPageNumber="0" fitToHeight="1" fitToWidth="1" horizontalDpi="300" orientation="landscape" pageOrder="downThenOver" paperSize="77" scale="85" useFirstPageNumber="false" usePrinterDefaults="false" verticalDpi="300"/>
  <headerFooter differentFirst="false" differentOddEven="false">
    <oddHeader/>
    <oddFooter/>
  </headerFooter>
</worksheet>
</file>

<file path=xl/worksheets/sheet23.xml><?xml version="1.0" encoding="utf-8"?>
<worksheet xmlns="http://schemas.openxmlformats.org/spreadsheetml/2006/main" xmlns:r="http://schemas.openxmlformats.org/officeDocument/2006/relationships">
  <sheetPr filterMode="false">
    <pageSetUpPr fitToPage="false"/>
  </sheetPr>
  <dimension ref="A1:X33"/>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Right" topLeftCell="D16" xSplit="3" ySplit="4"/>
      <selection activeCell="A1" activeCellId="0" pane="topLeft" sqref="A1"/>
      <selection activeCell="D1" activeCellId="0" pane="topRight" sqref="D1"/>
      <selection activeCell="A16" activeCellId="0" pane="bottomLeft" sqref="A16"/>
      <selection activeCell="F33" activeCellId="0" pane="bottomRight" sqref="F33"/>
    </sheetView>
  </sheetViews>
  <cols>
    <col collapsed="false" hidden="false" max="1" min="1" style="561" width="3.15686274509804"/>
    <col collapsed="false" hidden="false" max="2" min="2" style="561" width="31.7019607843137"/>
    <col collapsed="false" hidden="false" max="3" min="3" style="561" width="11.4745098039216"/>
    <col collapsed="false" hidden="false" max="5" min="4" style="561" width="6.74117647058824"/>
    <col collapsed="false" hidden="false" max="6" min="6" style="561" width="12.6196078431373"/>
    <col collapsed="false" hidden="false" max="8" min="7" style="561" width="6.74117647058824"/>
    <col collapsed="false" hidden="false" max="9" min="9" style="561" width="13.7686274509804"/>
    <col collapsed="false" hidden="false" max="11" min="10" style="561" width="6.74117647058824"/>
    <col collapsed="false" hidden="false" max="12" min="12" style="561" width="12.6196078431373"/>
    <col collapsed="false" hidden="false" max="14" min="13" style="561" width="6.74117647058824"/>
    <col collapsed="false" hidden="false" max="15" min="15" style="561" width="12.6196078431373"/>
    <col collapsed="false" hidden="false" max="17" min="16" style="561" width="6.74117647058824"/>
    <col collapsed="false" hidden="false" max="18" min="18" style="561" width="12.6196078431373"/>
    <col collapsed="false" hidden="false" max="20" min="19" style="561" width="6.74117647058824"/>
    <col collapsed="false" hidden="false" max="21" min="21" style="561" width="12.6196078431373"/>
    <col collapsed="false" hidden="false" max="23" min="22" style="561" width="6.74117647058824"/>
    <col collapsed="false" hidden="false" max="24" min="24" style="561" width="12.6196078431373"/>
    <col collapsed="false" hidden="false" max="257" min="25" style="561" width="11.4745098039216"/>
  </cols>
  <sheetData>
    <row collapsed="false" customFormat="false" customHeight="false" hidden="false" ht="14" outlineLevel="0" r="1">
      <c r="B1" s="313" t="s">
        <v>794</v>
      </c>
    </row>
    <row collapsed="false" customFormat="false" customHeight="false" hidden="false" ht="14" outlineLevel="0" r="2">
      <c r="B2" s="757"/>
    </row>
    <row collapsed="false" customFormat="false" customHeight="true" hidden="false" ht="22.5" outlineLevel="0" r="3">
      <c r="A3" s="823"/>
      <c r="B3" s="395" t="s">
        <v>297</v>
      </c>
      <c r="C3" s="719" t="s">
        <v>792</v>
      </c>
      <c r="D3" s="785" t="str">
        <f aca="false">7_Prod_Scios_Grales_10!C6&amp;" Por Servicio final"</f>
        <v>Ración Por Servicio final</v>
      </c>
      <c r="E3" s="785"/>
      <c r="F3" s="786" t="str">
        <f aca="false">7_Prod_Scios_Grales_10!B6</f>
        <v>ALIMENTACION </v>
      </c>
      <c r="G3" s="785" t="str">
        <f aca="false">7_Prod_Scios_Grales_10!C26&amp;" Por Servicio final"</f>
        <v>Ración Enteral Por Servicio final</v>
      </c>
      <c r="H3" s="785"/>
      <c r="I3" s="786" t="str">
        <f aca="false">7_Prod_Scios_Grales_10!B26</f>
        <v>FORMULA ENTERAL</v>
      </c>
      <c r="J3" s="785" t="str">
        <f aca="false">7_Prod_Scios_Grales_10!C46&amp;" Por Servicio final"</f>
        <v>Ración Infantil Por Servicio final</v>
      </c>
      <c r="K3" s="785"/>
      <c r="L3" s="786" t="str">
        <f aca="false">7_Prod_Scios_Grales_10!B46</f>
        <v>ALIMENTACION INFANTIL</v>
      </c>
      <c r="M3" s="785" t="str">
        <f aca="false">7_Prod_Scios_Grales_10!C66&amp;" Por Servicio final"</f>
        <v>Libras Por Servicio final</v>
      </c>
      <c r="N3" s="785"/>
      <c r="O3" s="786" t="str">
        <f aca="false">7_Prod_Scios_Grales_10!B66</f>
        <v>LAVANDERIA</v>
      </c>
      <c r="P3" s="785" t="str">
        <f aca="false">7_Prod_Scios_Grales_10!C95&amp;" Por Servicio final"</f>
        <v># de Ordenes Por Servicio final</v>
      </c>
      <c r="Q3" s="785"/>
      <c r="R3" s="786" t="str">
        <f aca="false">7_Prod_Scios_Grales_10!B95</f>
        <v>MANTENIMIENTO PREVENTIVO</v>
      </c>
      <c r="S3" s="785" t="str">
        <f aca="false">7_Prod_Scios_Grales_10!C123&amp;" Por Servicio final"</f>
        <v># de Ordenes Por Servicio final</v>
      </c>
      <c r="T3" s="785"/>
      <c r="U3" s="786" t="str">
        <f aca="false">7_Prod_Scios_Grales_10!B123</f>
        <v>MANTENIMIENTO CORRECTIVO</v>
      </c>
      <c r="V3" s="785" t="str">
        <f aca="false">7_Prod_Scios_Grales_10!C151&amp;" Por Servicio final"</f>
        <v>Kilometros Por Servicio final</v>
      </c>
      <c r="W3" s="785"/>
      <c r="X3" s="787" t="str">
        <f aca="false">7_Prod_Scios_Grales_10!B151</f>
        <v>TRANSPORTE</v>
      </c>
    </row>
    <row collapsed="false" customFormat="false" customHeight="false" hidden="false" ht="20.85" outlineLevel="0" r="4">
      <c r="A4" s="784"/>
      <c r="B4" s="395"/>
      <c r="C4" s="719"/>
      <c r="D4" s="788" t="n">
        <v>2010</v>
      </c>
      <c r="E4" s="789" t="n">
        <v>2011</v>
      </c>
      <c r="F4" s="790" t="s">
        <v>793</v>
      </c>
      <c r="G4" s="788" t="n">
        <v>2010</v>
      </c>
      <c r="H4" s="789" t="n">
        <v>2011</v>
      </c>
      <c r="I4" s="790" t="s">
        <v>793</v>
      </c>
      <c r="J4" s="788" t="n">
        <v>2010</v>
      </c>
      <c r="K4" s="789" t="n">
        <v>2011</v>
      </c>
      <c r="L4" s="790" t="s">
        <v>793</v>
      </c>
      <c r="M4" s="788" t="n">
        <v>2010</v>
      </c>
      <c r="N4" s="789" t="n">
        <v>2011</v>
      </c>
      <c r="O4" s="790" t="s">
        <v>793</v>
      </c>
      <c r="P4" s="788" t="n">
        <v>2010</v>
      </c>
      <c r="Q4" s="789" t="n">
        <v>2011</v>
      </c>
      <c r="R4" s="790" t="s">
        <v>793</v>
      </c>
      <c r="S4" s="788" t="n">
        <v>2010</v>
      </c>
      <c r="T4" s="789" t="n">
        <v>2011</v>
      </c>
      <c r="U4" s="790" t="s">
        <v>793</v>
      </c>
      <c r="V4" s="788" t="n">
        <v>2010</v>
      </c>
      <c r="W4" s="789" t="n">
        <v>2011</v>
      </c>
      <c r="X4" s="791" t="s">
        <v>793</v>
      </c>
    </row>
    <row collapsed="false" customFormat="false" customHeight="false" hidden="false" ht="14" outlineLevel="0" r="5">
      <c r="B5" s="793" t="str">
        <f aca="false">7_Prod_Scios_Grales_10!B67</f>
        <v>Servicios Ambulatorios</v>
      </c>
      <c r="C5" s="794"/>
      <c r="D5" s="794"/>
      <c r="E5" s="794"/>
      <c r="F5" s="795"/>
      <c r="G5" s="794"/>
      <c r="H5" s="794"/>
      <c r="I5" s="795"/>
      <c r="J5" s="794"/>
      <c r="K5" s="794"/>
      <c r="L5" s="795"/>
      <c r="M5" s="794"/>
      <c r="N5" s="794"/>
      <c r="O5" s="795"/>
      <c r="P5" s="794"/>
      <c r="Q5" s="794"/>
      <c r="R5" s="795"/>
      <c r="S5" s="794"/>
      <c r="T5" s="794"/>
      <c r="U5" s="795"/>
      <c r="V5" s="794"/>
      <c r="W5" s="794"/>
      <c r="X5" s="796"/>
    </row>
    <row collapsed="false" customFormat="false" customHeight="false" hidden="false" ht="14" outlineLevel="0" r="6">
      <c r="B6" s="797" t="str">
        <f aca="false">7_Prod_Scios_Grales_10!B68</f>
        <v>Consulta General </v>
      </c>
      <c r="C6" s="824" t="n">
        <f aca="false">17_Prog_Produc_2011!G6</f>
        <v>0</v>
      </c>
      <c r="D6" s="799"/>
      <c r="E6" s="825" t="n">
        <f aca="false">D6</f>
        <v>0</v>
      </c>
      <c r="F6" s="801" t="n">
        <f aca="false">IF(ISERROR($C6*E6),"",ROUND($C6*E6,0))</f>
        <v>0</v>
      </c>
      <c r="G6" s="799"/>
      <c r="H6" s="825" t="n">
        <f aca="false">G6</f>
        <v>0</v>
      </c>
      <c r="I6" s="801" t="n">
        <f aca="false">IF(ISERROR($C6*H6),"",ROUND($C6*H6,0))</f>
        <v>0</v>
      </c>
      <c r="J6" s="799"/>
      <c r="K6" s="825" t="n">
        <f aca="false">J6</f>
        <v>0</v>
      </c>
      <c r="L6" s="801" t="n">
        <f aca="false">IF(ISERROR($C6*K6),"",ROUND($C6*K6,0))</f>
        <v>0</v>
      </c>
      <c r="M6" s="799" t="str">
        <f aca="false">7_Prod_Scios_Grales_10!G68</f>
        <v/>
      </c>
      <c r="N6" s="825" t="str">
        <f aca="false">M6</f>
        <v/>
      </c>
      <c r="O6" s="801" t="str">
        <f aca="false">IF(ISERROR($C6*N6),"",ROUND($C6*N6,0))</f>
        <v/>
      </c>
      <c r="P6" s="799" t="str">
        <f aca="false">7_Prod_Scios_Grales_10!G97</f>
        <v/>
      </c>
      <c r="Q6" s="825" t="str">
        <f aca="false">P6</f>
        <v/>
      </c>
      <c r="R6" s="801" t="str">
        <f aca="false">IF(ISERROR($C6*Q6),"",ROUND($C6*Q6,0))</f>
        <v/>
      </c>
      <c r="S6" s="799" t="str">
        <f aca="false">7_Prod_Scios_Grales_10!G125</f>
        <v/>
      </c>
      <c r="T6" s="825" t="str">
        <f aca="false">S6</f>
        <v/>
      </c>
      <c r="U6" s="801" t="str">
        <f aca="false">IF(ISERROR($C6*T6),"",ROUND($C6*T6,0))</f>
        <v/>
      </c>
      <c r="V6" s="799" t="str">
        <f aca="false">7_Prod_Scios_Grales_10!G153</f>
        <v/>
      </c>
      <c r="W6" s="825" t="str">
        <f aca="false">V6</f>
        <v/>
      </c>
      <c r="X6" s="802" t="str">
        <f aca="false">IF(ISERROR($C6*W6),"",ROUND($C6*W6,0))</f>
        <v/>
      </c>
    </row>
    <row collapsed="false" customFormat="false" customHeight="false" hidden="false" ht="14" outlineLevel="0" r="7">
      <c r="B7" s="797" t="str">
        <f aca="false">7_Prod_Scios_Grales_10!B69</f>
        <v>Consultas de Especializadades Básicas</v>
      </c>
      <c r="C7" s="824" t="n">
        <f aca="false">17_Prog_Produc_2011!G8</f>
        <v>0</v>
      </c>
      <c r="D7" s="799"/>
      <c r="E7" s="825" t="n">
        <f aca="false">D7</f>
        <v>0</v>
      </c>
      <c r="F7" s="801" t="n">
        <f aca="false">IF(ISERROR($C7*E7),"",ROUND($C7*E7,0))</f>
        <v>0</v>
      </c>
      <c r="G7" s="799"/>
      <c r="H7" s="825" t="n">
        <f aca="false">G7</f>
        <v>0</v>
      </c>
      <c r="I7" s="801" t="n">
        <f aca="false">IF(ISERROR($C7*H7),"",ROUND($C7*H7,0))</f>
        <v>0</v>
      </c>
      <c r="J7" s="799"/>
      <c r="K7" s="825" t="n">
        <f aca="false">J7</f>
        <v>0</v>
      </c>
      <c r="L7" s="801" t="n">
        <f aca="false">IF(ISERROR($C7*K7),"",ROUND($C7*K7,0))</f>
        <v>0</v>
      </c>
      <c r="M7" s="799" t="str">
        <f aca="false">7_Prod_Scios_Grales_10!G69</f>
        <v/>
      </c>
      <c r="N7" s="825" t="str">
        <f aca="false">M7</f>
        <v/>
      </c>
      <c r="O7" s="801" t="str">
        <f aca="false">IF(ISERROR($C7*N7),"",ROUND($C7*N7,0))</f>
        <v/>
      </c>
      <c r="P7" s="799" t="str">
        <f aca="false">7_Prod_Scios_Grales_10!G98</f>
        <v/>
      </c>
      <c r="Q7" s="825" t="str">
        <f aca="false">P7</f>
        <v/>
      </c>
      <c r="R7" s="801" t="str">
        <f aca="false">IF(ISERROR($C7*Q7),"",ROUND($C7*Q7,0))</f>
        <v/>
      </c>
      <c r="S7" s="799" t="str">
        <f aca="false">7_Prod_Scios_Grales_10!G126</f>
        <v/>
      </c>
      <c r="T7" s="825" t="str">
        <f aca="false">S7</f>
        <v/>
      </c>
      <c r="U7" s="801" t="str">
        <f aca="false">IF(ISERROR($C7*T7),"",ROUND($C7*T7,0))</f>
        <v/>
      </c>
      <c r="V7" s="799" t="str">
        <f aca="false">7_Prod_Scios_Grales_10!G154</f>
        <v/>
      </c>
      <c r="W7" s="825" t="str">
        <f aca="false">V7</f>
        <v/>
      </c>
      <c r="X7" s="802" t="str">
        <f aca="false">IF(ISERROR($C7*W7),"",ROUND($C7*W7,0))</f>
        <v/>
      </c>
    </row>
    <row collapsed="false" customFormat="false" customHeight="false" hidden="false" ht="14" outlineLevel="0" r="8">
      <c r="B8" s="797" t="str">
        <f aca="false">7_Prod_Scios_Grales_10!B70</f>
        <v>Consultas de Sub Especializadades</v>
      </c>
      <c r="C8" s="824" t="n">
        <f aca="false">17_Prog_Produc_2011!G11</f>
        <v>167333</v>
      </c>
      <c r="D8" s="799"/>
      <c r="E8" s="825" t="n">
        <f aca="false">D8</f>
        <v>0</v>
      </c>
      <c r="F8" s="801" t="n">
        <f aca="false">IF(ISERROR($C8*E8),"",ROUND($C8*E8,0))</f>
        <v>0</v>
      </c>
      <c r="G8" s="799"/>
      <c r="H8" s="825" t="n">
        <f aca="false">G8</f>
        <v>0</v>
      </c>
      <c r="I8" s="801" t="n">
        <f aca="false">IF(ISERROR($C8*H8),"",ROUND($C8*H8,0))</f>
        <v>0</v>
      </c>
      <c r="J8" s="799"/>
      <c r="K8" s="825" t="n">
        <f aca="false">J8</f>
        <v>0</v>
      </c>
      <c r="L8" s="801" t="n">
        <f aca="false">IF(ISERROR($C8*K8),"",ROUND($C8*K8,0))</f>
        <v>0</v>
      </c>
      <c r="M8" s="799" t="n">
        <f aca="false">7_Prod_Scios_Grales_10!G70</f>
        <v>0.856085807405125</v>
      </c>
      <c r="N8" s="825" t="n">
        <f aca="false">M8</f>
        <v>0.856085807405125</v>
      </c>
      <c r="O8" s="801" t="n">
        <f aca="false">IF(ISERROR($C8*N8),"",ROUND($C8*N8,0))</f>
        <v>143251</v>
      </c>
      <c r="P8" s="799" t="n">
        <f aca="false">7_Prod_Scios_Grales_10!G99</f>
        <v>0.00103504219602255</v>
      </c>
      <c r="Q8" s="825" t="n">
        <f aca="false">P8</f>
        <v>0.00103504219602255</v>
      </c>
      <c r="R8" s="801" t="n">
        <f aca="false">IF(ISERROR($C8*Q8),"",ROUND($C8*Q8,0))</f>
        <v>173</v>
      </c>
      <c r="S8" s="799" t="n">
        <f aca="false">7_Prod_Scios_Grales_10!G127</f>
        <v>0.00224820793275596</v>
      </c>
      <c r="T8" s="825" t="n">
        <f aca="false">S8</f>
        <v>0.00224820793275596</v>
      </c>
      <c r="U8" s="801" t="n">
        <f aca="false">IF(ISERROR($C8*T8),"",ROUND($C8*T8,0))</f>
        <v>376</v>
      </c>
      <c r="V8" s="799" t="n">
        <f aca="false">7_Prod_Scios_Grales_10!G155</f>
        <v>0.103821953485685</v>
      </c>
      <c r="W8" s="825" t="n">
        <f aca="false">V8</f>
        <v>0.103821953485685</v>
      </c>
      <c r="X8" s="802" t="n">
        <f aca="false">IF(ISERROR($C8*W8),"",ROUND($C8*W8,0))</f>
        <v>17373</v>
      </c>
    </row>
    <row collapsed="false" customFormat="false" customHeight="false" hidden="false" ht="20.85" outlineLevel="0" r="9">
      <c r="B9" s="797" t="str">
        <f aca="false">7_Prod_Scios_Grales_10!B71</f>
        <v>Consultas de Emergencia de Medicina Interna Pediatrica</v>
      </c>
      <c r="C9" s="824" t="n">
        <f aca="false">17_Prog_Produc_2011!G16</f>
        <v>0</v>
      </c>
      <c r="D9" s="799"/>
      <c r="E9" s="825" t="n">
        <f aca="false">D9</f>
        <v>0</v>
      </c>
      <c r="F9" s="801" t="n">
        <f aca="false">IF(ISERROR($C9*E9),"",ROUND($C9*E9,0))</f>
        <v>0</v>
      </c>
      <c r="G9" s="799"/>
      <c r="H9" s="825" t="n">
        <f aca="false">G9</f>
        <v>0</v>
      </c>
      <c r="I9" s="801" t="n">
        <f aca="false">IF(ISERROR($C9*H9),"",ROUND($C9*H9,0))</f>
        <v>0</v>
      </c>
      <c r="J9" s="799"/>
      <c r="K9" s="825" t="n">
        <f aca="false">J9</f>
        <v>0</v>
      </c>
      <c r="L9" s="801" t="n">
        <f aca="false">IF(ISERROR($C9*K9),"",ROUND($C9*K9,0))</f>
        <v>0</v>
      </c>
      <c r="M9" s="799" t="n">
        <f aca="false">7_Prod_Scios_Grales_10!G71</f>
        <v>9.86117911056712</v>
      </c>
      <c r="N9" s="825" t="n">
        <f aca="false">M9</f>
        <v>9.86117911056712</v>
      </c>
      <c r="O9" s="801" t="n">
        <f aca="false">IF(ISERROR($C9*N9),"",ROUND($C9*N9,0))</f>
        <v>0</v>
      </c>
      <c r="P9" s="799" t="n">
        <f aca="false">7_Prod_Scios_Grales_10!G100</f>
        <v>0.0103019175846593</v>
      </c>
      <c r="Q9" s="825" t="n">
        <f aca="false">P9</f>
        <v>0.0103019175846593</v>
      </c>
      <c r="R9" s="801" t="n">
        <f aca="false">IF(ISERROR($C9*Q9),"",ROUND($C9*Q9,0))</f>
        <v>0</v>
      </c>
      <c r="S9" s="799" t="n">
        <f aca="false">7_Prod_Scios_Grales_10!G128</f>
        <v>0.025499796001632</v>
      </c>
      <c r="T9" s="825" t="n">
        <f aca="false">S9</f>
        <v>0.025499796001632</v>
      </c>
      <c r="U9" s="801" t="n">
        <f aca="false">IF(ISERROR($C9*T9),"",ROUND($C9*T9,0))</f>
        <v>0</v>
      </c>
      <c r="V9" s="799" t="n">
        <f aca="false">7_Prod_Scios_Grales_10!G156</f>
        <v>2.156262749898</v>
      </c>
      <c r="W9" s="825" t="n">
        <f aca="false">V9</f>
        <v>2.156262749898</v>
      </c>
      <c r="X9" s="802" t="n">
        <f aca="false">IF(ISERROR($C9*W9),"",ROUND($C9*W9,0))</f>
        <v>0</v>
      </c>
    </row>
    <row collapsed="false" customFormat="false" customHeight="false" hidden="false" ht="20.85" outlineLevel="0" r="10">
      <c r="B10" s="797" t="str">
        <f aca="false">7_Prod_Scios_Grales_10!B72</f>
        <v>Consultas de Emergencia de Cirugia General Pediatrica</v>
      </c>
      <c r="C10" s="824" t="n">
        <f aca="false">17_Prog_Produc_2011!G17</f>
        <v>0</v>
      </c>
      <c r="D10" s="799"/>
      <c r="E10" s="825" t="n">
        <f aca="false">D10</f>
        <v>0</v>
      </c>
      <c r="F10" s="801" t="n">
        <f aca="false">IF(ISERROR($C10*E10),"",ROUND($C10*E10,0))</f>
        <v>0</v>
      </c>
      <c r="G10" s="799"/>
      <c r="H10" s="825" t="n">
        <f aca="false">G10</f>
        <v>0</v>
      </c>
      <c r="I10" s="801" t="n">
        <f aca="false">IF(ISERROR($C10*H10),"",ROUND($C10*H10,0))</f>
        <v>0</v>
      </c>
      <c r="J10" s="799"/>
      <c r="K10" s="825" t="n">
        <f aca="false">J10</f>
        <v>0</v>
      </c>
      <c r="L10" s="801" t="n">
        <f aca="false">IF(ISERROR($C10*K10),"",ROUND($C10*K10,0))</f>
        <v>0</v>
      </c>
      <c r="M10" s="799" t="n">
        <f aca="false">7_Prod_Scios_Grales_10!G72</f>
        <v>0</v>
      </c>
      <c r="N10" s="825" t="n">
        <f aca="false">M10</f>
        <v>0</v>
      </c>
      <c r="O10" s="801" t="n">
        <f aca="false">IF(ISERROR($C10*N10),"",ROUND($C10*N10,0))</f>
        <v>0</v>
      </c>
      <c r="P10" s="799" t="n">
        <f aca="false">7_Prod_Scios_Grales_10!G101</f>
        <v>0</v>
      </c>
      <c r="Q10" s="825" t="n">
        <f aca="false">P10</f>
        <v>0</v>
      </c>
      <c r="R10" s="801" t="n">
        <f aca="false">IF(ISERROR($C10*Q10),"",ROUND($C10*Q10,0))</f>
        <v>0</v>
      </c>
      <c r="S10" s="799" t="n">
        <f aca="false">7_Prod_Scios_Grales_10!G129</f>
        <v>0</v>
      </c>
      <c r="T10" s="825" t="n">
        <f aca="false">S10</f>
        <v>0</v>
      </c>
      <c r="U10" s="801" t="n">
        <f aca="false">IF(ISERROR($C10*T10),"",ROUND($C10*T10,0))</f>
        <v>0</v>
      </c>
      <c r="V10" s="799" t="n">
        <f aca="false">7_Prod_Scios_Grales_10!G157</f>
        <v>0</v>
      </c>
      <c r="W10" s="825" t="n">
        <f aca="false">V10</f>
        <v>0</v>
      </c>
      <c r="X10" s="802" t="n">
        <f aca="false">IF(ISERROR($C10*W10),"",ROUND($C10*W10,0))</f>
        <v>0</v>
      </c>
    </row>
    <row collapsed="false" customFormat="false" customHeight="false" hidden="false" ht="14" outlineLevel="0" r="11">
      <c r="B11" s="797" t="str">
        <f aca="false">7_Prod_Scios_Grales_10!B73</f>
        <v>Consulta de Odontologia General</v>
      </c>
      <c r="C11" s="824" t="n">
        <f aca="false">17_Prog_Produc_2011!G19</f>
        <v>11092</v>
      </c>
      <c r="D11" s="799"/>
      <c r="E11" s="825" t="n">
        <f aca="false">D11</f>
        <v>0</v>
      </c>
      <c r="F11" s="801" t="n">
        <f aca="false">IF(ISERROR($C11*E11),"",ROUND($C11*E11,0))</f>
        <v>0</v>
      </c>
      <c r="G11" s="799"/>
      <c r="H11" s="825" t="n">
        <f aca="false">G11</f>
        <v>0</v>
      </c>
      <c r="I11" s="801" t="n">
        <f aca="false">IF(ISERROR($C11*H11),"",ROUND($C11*H11,0))</f>
        <v>0</v>
      </c>
      <c r="J11" s="799"/>
      <c r="K11" s="825" t="n">
        <f aca="false">J11</f>
        <v>0</v>
      </c>
      <c r="L11" s="801" t="n">
        <f aca="false">IF(ISERROR($C11*K11),"",ROUND($C11*K11,0))</f>
        <v>0</v>
      </c>
      <c r="M11" s="799" t="n">
        <f aca="false">7_Prod_Scios_Grales_10!G73</f>
        <v>0</v>
      </c>
      <c r="N11" s="825" t="n">
        <f aca="false">M11</f>
        <v>0</v>
      </c>
      <c r="O11" s="801" t="n">
        <f aca="false">IF(ISERROR($C11*N11),"",ROUND($C11*N11,0))</f>
        <v>0</v>
      </c>
      <c r="P11" s="799" t="n">
        <f aca="false">7_Prod_Scios_Grales_10!G102</f>
        <v>0.00212288469703403</v>
      </c>
      <c r="Q11" s="825" t="n">
        <f aca="false">P11</f>
        <v>0.00212288469703403</v>
      </c>
      <c r="R11" s="801" t="n">
        <f aca="false">IF(ISERROR($C11*Q11),"",ROUND($C11*Q11,0))</f>
        <v>24</v>
      </c>
      <c r="S11" s="799" t="n">
        <f aca="false">7_Prod_Scios_Grales_10!G130</f>
        <v>0.00260811548492752</v>
      </c>
      <c r="T11" s="825" t="n">
        <f aca="false">S11</f>
        <v>0.00260811548492752</v>
      </c>
      <c r="U11" s="801" t="n">
        <f aca="false">IF(ISERROR($C11*T11),"",ROUND($C11*T11,0))</f>
        <v>29</v>
      </c>
      <c r="V11" s="799" t="n">
        <f aca="false">7_Prod_Scios_Grales_10!G158</f>
        <v>0</v>
      </c>
      <c r="W11" s="825" t="n">
        <f aca="false">V11</f>
        <v>0</v>
      </c>
      <c r="X11" s="802" t="n">
        <f aca="false">IF(ISERROR($C11*W11),"",ROUND($C11*W11,0))</f>
        <v>0</v>
      </c>
    </row>
    <row collapsed="false" customFormat="false" customHeight="false" hidden="false" ht="14" outlineLevel="0" r="12">
      <c r="B12" s="797" t="str">
        <f aca="false">7_Prod_Scios_Grales_10!B74</f>
        <v>Consulta de Ortodoncia</v>
      </c>
      <c r="C12" s="824" t="n">
        <f aca="false">17_Prog_Produc_2011!G20</f>
        <v>2416</v>
      </c>
      <c r="D12" s="799"/>
      <c r="E12" s="825" t="n">
        <f aca="false">D12</f>
        <v>0</v>
      </c>
      <c r="F12" s="801" t="n">
        <f aca="false">IF(ISERROR($C12*E12),"",ROUND($C12*E12,0))</f>
        <v>0</v>
      </c>
      <c r="G12" s="799"/>
      <c r="H12" s="825" t="n">
        <f aca="false">G12</f>
        <v>0</v>
      </c>
      <c r="I12" s="801" t="n">
        <f aca="false">IF(ISERROR($C12*H12),"",ROUND($C12*H12,0))</f>
        <v>0</v>
      </c>
      <c r="J12" s="799"/>
      <c r="K12" s="825" t="n">
        <f aca="false">J12</f>
        <v>0</v>
      </c>
      <c r="L12" s="801" t="n">
        <f aca="false">IF(ISERROR($C12*K12),"",ROUND($C12*K12,0))</f>
        <v>0</v>
      </c>
      <c r="M12" s="799" t="n">
        <f aca="false">7_Prod_Scios_Grales_10!G74</f>
        <v>0</v>
      </c>
      <c r="N12" s="825" t="n">
        <f aca="false">M12</f>
        <v>0</v>
      </c>
      <c r="O12" s="801" t="n">
        <f aca="false">IF(ISERROR($C12*N12),"",ROUND($C12*N12,0))</f>
        <v>0</v>
      </c>
      <c r="P12" s="799" t="n">
        <f aca="false">7_Prod_Scios_Grales_10!G103</f>
        <v>0</v>
      </c>
      <c r="Q12" s="825" t="n">
        <f aca="false">P12</f>
        <v>0</v>
      </c>
      <c r="R12" s="801" t="n">
        <f aca="false">IF(ISERROR($C12*Q12),"",ROUND($C12*Q12,0))</f>
        <v>0</v>
      </c>
      <c r="S12" s="799" t="n">
        <f aca="false">7_Prod_Scios_Grales_10!G131</f>
        <v>0</v>
      </c>
      <c r="T12" s="825" t="n">
        <f aca="false">S12</f>
        <v>0</v>
      </c>
      <c r="U12" s="801" t="n">
        <f aca="false">IF(ISERROR($C12*T12),"",ROUND($C12*T12,0))</f>
        <v>0</v>
      </c>
      <c r="V12" s="799" t="n">
        <f aca="false">7_Prod_Scios_Grales_10!G159</f>
        <v>0</v>
      </c>
      <c r="W12" s="825" t="n">
        <f aca="false">V12</f>
        <v>0</v>
      </c>
      <c r="X12" s="802" t="n">
        <f aca="false">IF(ISERROR($C12*W12),"",ROUND($C12*W12,0))</f>
        <v>0</v>
      </c>
    </row>
    <row collapsed="false" customFormat="false" customHeight="false" hidden="false" ht="14" outlineLevel="0" r="13">
      <c r="B13" s="793" t="str">
        <f aca="false">7_Prod_Scios_Grales_10!B75</f>
        <v>Servicios Hospitalarios </v>
      </c>
      <c r="C13" s="794"/>
      <c r="D13" s="803"/>
      <c r="E13" s="803"/>
      <c r="F13" s="804"/>
      <c r="G13" s="803"/>
      <c r="H13" s="803"/>
      <c r="I13" s="804"/>
      <c r="J13" s="803"/>
      <c r="K13" s="803"/>
      <c r="L13" s="804"/>
      <c r="M13" s="803"/>
      <c r="N13" s="803"/>
      <c r="O13" s="804"/>
      <c r="P13" s="803"/>
      <c r="Q13" s="803"/>
      <c r="R13" s="804"/>
      <c r="S13" s="803"/>
      <c r="T13" s="803"/>
      <c r="U13" s="804"/>
      <c r="V13" s="803"/>
      <c r="W13" s="803"/>
      <c r="X13" s="805"/>
    </row>
    <row collapsed="false" customFormat="false" customHeight="false" hidden="false" ht="14" outlineLevel="0" r="14">
      <c r="B14" s="806" t="str">
        <f aca="false">7_Prod_Scios_Grales_10!B76</f>
        <v>Egresos</v>
      </c>
      <c r="C14" s="826"/>
      <c r="D14" s="807"/>
      <c r="E14" s="808"/>
      <c r="F14" s="809"/>
      <c r="G14" s="807"/>
      <c r="H14" s="808"/>
      <c r="I14" s="809"/>
      <c r="J14" s="807"/>
      <c r="K14" s="808"/>
      <c r="L14" s="809"/>
      <c r="M14" s="807"/>
      <c r="N14" s="808"/>
      <c r="O14" s="809"/>
      <c r="P14" s="807"/>
      <c r="Q14" s="808"/>
      <c r="R14" s="809"/>
      <c r="S14" s="807"/>
      <c r="T14" s="808"/>
      <c r="U14" s="809"/>
      <c r="V14" s="807"/>
      <c r="W14" s="808"/>
      <c r="X14" s="810"/>
    </row>
    <row collapsed="false" customFormat="false" customHeight="false" hidden="false" ht="14" outlineLevel="0" r="15">
      <c r="B15" s="797" t="str">
        <f aca="false">7_Prod_Scios_Grales_10!B77</f>
        <v>Medicina Interna </v>
      </c>
      <c r="C15" s="824" t="n">
        <f aca="false">17_Prog_Produc_2011!G34</f>
        <v>1131</v>
      </c>
      <c r="D15" s="799" t="n">
        <f aca="false">7_Prod_Scios_Grales_10!G9</f>
        <v>3.40235081374322</v>
      </c>
      <c r="E15" s="825" t="n">
        <f aca="false">D15</f>
        <v>3.40235081374322</v>
      </c>
      <c r="F15" s="801" t="n">
        <f aca="false">IF(ISERROR($C15*E15),"",ROUND($C15*E15,0))</f>
        <v>3848</v>
      </c>
      <c r="G15" s="799" t="n">
        <f aca="false">7_Prod_Scios_Grales_10!G29</f>
        <v>3.83273056057866</v>
      </c>
      <c r="H15" s="825" t="n">
        <f aca="false">G15</f>
        <v>3.83273056057866</v>
      </c>
      <c r="I15" s="801" t="n">
        <f aca="false">IF(ISERROR($C15*H15),"",ROUND($C15*H15,0))</f>
        <v>4335</v>
      </c>
      <c r="J15" s="799" t="n">
        <f aca="false">7_Prod_Scios_Grales_10!G49</f>
        <v>23.378842676311</v>
      </c>
      <c r="K15" s="825" t="n">
        <f aca="false">J15</f>
        <v>23.378842676311</v>
      </c>
      <c r="L15" s="801" t="n">
        <f aca="false">IF(ISERROR($C15*K15),"",ROUND($C15*K15,0))</f>
        <v>26441</v>
      </c>
      <c r="M15" s="799" t="n">
        <f aca="false">7_Prod_Scios_Grales_10!G77</f>
        <v>40.7884267631103</v>
      </c>
      <c r="N15" s="825" t="n">
        <f aca="false">M15</f>
        <v>40.7884267631103</v>
      </c>
      <c r="O15" s="801" t="n">
        <f aca="false">IF(ISERROR($C15*N15),"",ROUND($C15*N15,0))</f>
        <v>46132</v>
      </c>
      <c r="P15" s="799" t="n">
        <f aca="false">7_Prod_Scios_Grales_10!G106</f>
        <v>0.0714285714285714</v>
      </c>
      <c r="Q15" s="825" t="n">
        <f aca="false">P15</f>
        <v>0.0714285714285714</v>
      </c>
      <c r="R15" s="801" t="n">
        <f aca="false">IF(ISERROR($C15*Q15),"",ROUND($C15*Q15,0))</f>
        <v>81</v>
      </c>
      <c r="S15" s="799" t="n">
        <f aca="false">7_Prod_Scios_Grales_10!G134</f>
        <v>0.141952983725136</v>
      </c>
      <c r="T15" s="825" t="n">
        <f aca="false">S15</f>
        <v>0.141952983725136</v>
      </c>
      <c r="U15" s="801" t="n">
        <f aca="false">IF(ISERROR($C15*T15),"",ROUND($C15*T15,0))</f>
        <v>161</v>
      </c>
      <c r="V15" s="799" t="n">
        <f aca="false">7_Prod_Scios_Grales_10!G162</f>
        <v>0.370705244122966</v>
      </c>
      <c r="W15" s="825" t="n">
        <f aca="false">V15</f>
        <v>0.370705244122966</v>
      </c>
      <c r="X15" s="802" t="n">
        <f aca="false">IF(ISERROR($C15*W15),"",ROUND($C15*W15,0))</f>
        <v>419</v>
      </c>
    </row>
    <row collapsed="false" customFormat="false" customHeight="false" hidden="false" ht="14" outlineLevel="0" r="16">
      <c r="B16" s="797" t="str">
        <f aca="false">7_Prod_Scios_Grales_10!B78</f>
        <v>Infectología</v>
      </c>
      <c r="C16" s="824" t="n">
        <f aca="false">17_Prog_Produc_2011!G35</f>
        <v>2738</v>
      </c>
      <c r="D16" s="799" t="n">
        <f aca="false">7_Prod_Scios_Grales_10!G10</f>
        <v>3.01314636283961</v>
      </c>
      <c r="E16" s="825" t="n">
        <f aca="false">D16</f>
        <v>3.01314636283961</v>
      </c>
      <c r="F16" s="801" t="n">
        <f aca="false">IF(ISERROR($C16*E16),"",ROUND($C16*E16,0))</f>
        <v>8250</v>
      </c>
      <c r="G16" s="799" t="n">
        <f aca="false">7_Prod_Scios_Grales_10!G30</f>
        <v>2.49693251533742</v>
      </c>
      <c r="H16" s="825" t="n">
        <f aca="false">G16</f>
        <v>2.49693251533742</v>
      </c>
      <c r="I16" s="801" t="n">
        <f aca="false">IF(ISERROR($C16*H16),"",ROUND($C16*H16,0))</f>
        <v>6837</v>
      </c>
      <c r="J16" s="799" t="n">
        <f aca="false">7_Prod_Scios_Grales_10!G50</f>
        <v>20.169588080631</v>
      </c>
      <c r="K16" s="825" t="n">
        <f aca="false">J16</f>
        <v>20.169588080631</v>
      </c>
      <c r="L16" s="801" t="n">
        <f aca="false">IF(ISERROR($C16*K16),"",ROUND($C16*K16,0))</f>
        <v>55224</v>
      </c>
      <c r="M16" s="799" t="n">
        <f aca="false">7_Prod_Scios_Grales_10!G78</f>
        <v>47.9596844872919</v>
      </c>
      <c r="N16" s="825" t="n">
        <f aca="false">M16</f>
        <v>47.9596844872919</v>
      </c>
      <c r="O16" s="801" t="n">
        <f aca="false">IF(ISERROR($C16*N16),"",ROUND($C16*N16,0))</f>
        <v>131314</v>
      </c>
      <c r="P16" s="799" t="n">
        <f aca="false">7_Prod_Scios_Grales_10!G107</f>
        <v>0.0311130587204207</v>
      </c>
      <c r="Q16" s="825" t="n">
        <f aca="false">P16</f>
        <v>0.0311130587204207</v>
      </c>
      <c r="R16" s="801" t="n">
        <f aca="false">IF(ISERROR($C16*Q16),"",ROUND($C16*Q16,0))</f>
        <v>85</v>
      </c>
      <c r="S16" s="799" t="n">
        <f aca="false">7_Prod_Scios_Grales_10!G135</f>
        <v>0.108238387379492</v>
      </c>
      <c r="T16" s="825" t="n">
        <f aca="false">S16</f>
        <v>0.108238387379492</v>
      </c>
      <c r="U16" s="801" t="n">
        <f aca="false">IF(ISERROR($C16*T16),"",ROUND($C16*T16,0))</f>
        <v>296</v>
      </c>
      <c r="V16" s="799" t="n">
        <f aca="false">7_Prod_Scios_Grales_10!G163</f>
        <v>0.866783523225241</v>
      </c>
      <c r="W16" s="825" t="n">
        <f aca="false">V16</f>
        <v>0.866783523225241</v>
      </c>
      <c r="X16" s="802" t="n">
        <f aca="false">IF(ISERROR($C16*W16),"",ROUND($C16*W16,0))</f>
        <v>2373</v>
      </c>
    </row>
    <row collapsed="false" customFormat="false" customHeight="false" hidden="false" ht="14" outlineLevel="0" r="17">
      <c r="B17" s="797" t="str">
        <f aca="false">7_Prod_Scios_Grales_10!B79</f>
        <v>Nefrología</v>
      </c>
      <c r="C17" s="824" t="n">
        <f aca="false">17_Prog_Produc_2011!G36</f>
        <v>315</v>
      </c>
      <c r="D17" s="799" t="n">
        <f aca="false">7_Prod_Scios_Grales_10!G11</f>
        <v>5.20433436532508</v>
      </c>
      <c r="E17" s="825" t="n">
        <f aca="false">D17</f>
        <v>5.20433436532508</v>
      </c>
      <c r="F17" s="801" t="n">
        <f aca="false">IF(ISERROR($C17*E17),"",ROUND($C17*E17,0))</f>
        <v>1639</v>
      </c>
      <c r="G17" s="799" t="n">
        <f aca="false">7_Prod_Scios_Grales_10!G31</f>
        <v>2.56656346749226</v>
      </c>
      <c r="H17" s="825" t="n">
        <f aca="false">G17</f>
        <v>2.56656346749226</v>
      </c>
      <c r="I17" s="801" t="n">
        <f aca="false">IF(ISERROR($C17*H17),"",ROUND($C17*H17,0))</f>
        <v>808</v>
      </c>
      <c r="J17" s="799" t="n">
        <f aca="false">7_Prod_Scios_Grales_10!G51</f>
        <v>23.938080495356</v>
      </c>
      <c r="K17" s="825" t="n">
        <f aca="false">J17</f>
        <v>23.938080495356</v>
      </c>
      <c r="L17" s="801" t="n">
        <f aca="false">IF(ISERROR($C17*K17),"",ROUND($C17*K17,0))</f>
        <v>7540</v>
      </c>
      <c r="M17" s="799" t="n">
        <f aca="false">7_Prod_Scios_Grales_10!G79</f>
        <v>67.1919504643963</v>
      </c>
      <c r="N17" s="825" t="n">
        <f aca="false">M17</f>
        <v>67.1919504643963</v>
      </c>
      <c r="O17" s="801" t="n">
        <f aca="false">IF(ISERROR($C17*N17),"",ROUND($C17*N17,0))</f>
        <v>21165</v>
      </c>
      <c r="P17" s="799" t="n">
        <f aca="false">7_Prod_Scios_Grales_10!G108</f>
        <v>0.0309597523219814</v>
      </c>
      <c r="Q17" s="825" t="n">
        <f aca="false">P17</f>
        <v>0.0309597523219814</v>
      </c>
      <c r="R17" s="801" t="n">
        <f aca="false">IF(ISERROR($C17*Q17),"",ROUND($C17*Q17,0))</f>
        <v>10</v>
      </c>
      <c r="S17" s="799" t="n">
        <f aca="false">7_Prod_Scios_Grales_10!G136</f>
        <v>0.247678018575851</v>
      </c>
      <c r="T17" s="825" t="n">
        <f aca="false">S17</f>
        <v>0.247678018575851</v>
      </c>
      <c r="U17" s="801" t="n">
        <f aca="false">IF(ISERROR($C17*T17),"",ROUND($C17*T17,0))</f>
        <v>78</v>
      </c>
      <c r="V17" s="799" t="n">
        <f aca="false">7_Prod_Scios_Grales_10!G164</f>
        <v>7.56037151702786</v>
      </c>
      <c r="W17" s="825" t="n">
        <f aca="false">V17</f>
        <v>7.56037151702786</v>
      </c>
      <c r="X17" s="802" t="n">
        <f aca="false">IF(ISERROR($C17*W17),"",ROUND($C17*W17,0))</f>
        <v>2382</v>
      </c>
    </row>
    <row collapsed="false" customFormat="false" customHeight="false" hidden="false" ht="14" outlineLevel="0" r="18">
      <c r="B18" s="797" t="str">
        <f aca="false">7_Prod_Scios_Grales_10!B80</f>
        <v>Hematología</v>
      </c>
      <c r="C18" s="824" t="n">
        <f aca="false">17_Prog_Produc_2011!G37</f>
        <v>951</v>
      </c>
      <c r="D18" s="799" t="n">
        <f aca="false">7_Prod_Scios_Grales_10!G12</f>
        <v>4.22755741127349</v>
      </c>
      <c r="E18" s="825" t="n">
        <f aca="false">D18</f>
        <v>4.22755741127349</v>
      </c>
      <c r="F18" s="801" t="n">
        <f aca="false">IF(ISERROR($C18*E18),"",ROUND($C18*E18,0))</f>
        <v>4020</v>
      </c>
      <c r="G18" s="799" t="n">
        <f aca="false">7_Prod_Scios_Grales_10!G32</f>
        <v>1.8705636743215</v>
      </c>
      <c r="H18" s="825" t="n">
        <f aca="false">G18</f>
        <v>1.8705636743215</v>
      </c>
      <c r="I18" s="801" t="n">
        <f aca="false">IF(ISERROR($C18*H18),"",ROUND($C18*H18,0))</f>
        <v>1779</v>
      </c>
      <c r="J18" s="799" t="n">
        <f aca="false">7_Prod_Scios_Grales_10!G52</f>
        <v>20.3549060542797</v>
      </c>
      <c r="K18" s="825" t="n">
        <f aca="false">J18</f>
        <v>20.3549060542797</v>
      </c>
      <c r="L18" s="801" t="n">
        <f aca="false">IF(ISERROR($C18*K18),"",ROUND($C18*K18,0))</f>
        <v>19358</v>
      </c>
      <c r="M18" s="799" t="n">
        <f aca="false">7_Prod_Scios_Grales_10!G80</f>
        <v>22.6544885177453</v>
      </c>
      <c r="N18" s="825" t="n">
        <f aca="false">M18</f>
        <v>22.6544885177453</v>
      </c>
      <c r="O18" s="801" t="n">
        <f aca="false">IF(ISERROR($C18*N18),"",ROUND($C18*N18,0))</f>
        <v>21544</v>
      </c>
      <c r="P18" s="799" t="n">
        <f aca="false">7_Prod_Scios_Grales_10!G109</f>
        <v>0.0167014613778706</v>
      </c>
      <c r="Q18" s="825" t="n">
        <f aca="false">P18</f>
        <v>0.0167014613778706</v>
      </c>
      <c r="R18" s="801" t="n">
        <f aca="false">IF(ISERROR($C18*Q18),"",ROUND($C18*Q18,0))</f>
        <v>16</v>
      </c>
      <c r="S18" s="799" t="n">
        <f aca="false">7_Prod_Scios_Grales_10!G137</f>
        <v>0.0594989561586639</v>
      </c>
      <c r="T18" s="825" t="n">
        <f aca="false">S18</f>
        <v>0.0594989561586639</v>
      </c>
      <c r="U18" s="801" t="n">
        <f aca="false">IF(ISERROR($C18*T18),"",ROUND($C18*T18,0))</f>
        <v>57</v>
      </c>
      <c r="V18" s="799" t="n">
        <f aca="false">7_Prod_Scios_Grales_10!G165</f>
        <v>0.425887265135699</v>
      </c>
      <c r="W18" s="825" t="n">
        <f aca="false">V18</f>
        <v>0.425887265135699</v>
      </c>
      <c r="X18" s="802" t="n">
        <f aca="false">IF(ISERROR($C18*W18),"",ROUND($C18*W18,0))</f>
        <v>405</v>
      </c>
    </row>
    <row collapsed="false" customFormat="false" customHeight="false" hidden="false" ht="14" outlineLevel="0" r="19">
      <c r="B19" s="797" t="str">
        <f aca="false">7_Prod_Scios_Grales_10!B81</f>
        <v>Oncología</v>
      </c>
      <c r="C19" s="824" t="n">
        <f aca="false">17_Prog_Produc_2011!G38</f>
        <v>686</v>
      </c>
      <c r="D19" s="799" t="n">
        <f aca="false">7_Prod_Scios_Grales_10!G13</f>
        <v>5.13135593220339</v>
      </c>
      <c r="E19" s="825" t="n">
        <f aca="false">D19</f>
        <v>5.13135593220339</v>
      </c>
      <c r="F19" s="801" t="n">
        <f aca="false">IF(ISERROR($C19*E19),"",ROUND($C19*E19,0))</f>
        <v>3520</v>
      </c>
      <c r="G19" s="799" t="n">
        <f aca="false">7_Prod_Scios_Grales_10!G33</f>
        <v>1.27542372881356</v>
      </c>
      <c r="H19" s="825" t="n">
        <f aca="false">G19</f>
        <v>1.27542372881356</v>
      </c>
      <c r="I19" s="801" t="n">
        <f aca="false">IF(ISERROR($C19*H19),"",ROUND($C19*H19,0))</f>
        <v>875</v>
      </c>
      <c r="J19" s="799" t="n">
        <f aca="false">7_Prod_Scios_Grales_10!G53</f>
        <v>11.0395480225989</v>
      </c>
      <c r="K19" s="825" t="n">
        <f aca="false">J19</f>
        <v>11.0395480225989</v>
      </c>
      <c r="L19" s="801" t="n">
        <f aca="false">IF(ISERROR($C19*K19),"",ROUND($C19*K19,0))</f>
        <v>7573</v>
      </c>
      <c r="M19" s="799" t="n">
        <f aca="false">7_Prod_Scios_Grales_10!G81</f>
        <v>91.8587570621469</v>
      </c>
      <c r="N19" s="825" t="n">
        <f aca="false">M19</f>
        <v>91.8587570621469</v>
      </c>
      <c r="O19" s="801" t="n">
        <f aca="false">IF(ISERROR($C19*N19),"",ROUND($C19*N19,0))</f>
        <v>63015</v>
      </c>
      <c r="P19" s="799" t="n">
        <f aca="false">7_Prod_Scios_Grales_10!G110</f>
        <v>0.0522598870056497</v>
      </c>
      <c r="Q19" s="825" t="n">
        <f aca="false">P19</f>
        <v>0.0522598870056497</v>
      </c>
      <c r="R19" s="801" t="n">
        <f aca="false">IF(ISERROR($C19*Q19),"",ROUND($C19*Q19,0))</f>
        <v>36</v>
      </c>
      <c r="S19" s="799" t="n">
        <f aca="false">7_Prod_Scios_Grales_10!G138</f>
        <v>0.203389830508475</v>
      </c>
      <c r="T19" s="825" t="n">
        <f aca="false">S19</f>
        <v>0.203389830508475</v>
      </c>
      <c r="U19" s="801" t="n">
        <f aca="false">IF(ISERROR($C19*T19),"",ROUND($C19*T19,0))</f>
        <v>140</v>
      </c>
      <c r="V19" s="799" t="n">
        <f aca="false">7_Prod_Scios_Grales_10!G166</f>
        <v>1.01694915254237</v>
      </c>
      <c r="W19" s="825" t="n">
        <f aca="false">V19</f>
        <v>1.01694915254237</v>
      </c>
      <c r="X19" s="802" t="n">
        <f aca="false">IF(ISERROR($C19*W19),"",ROUND($C19*W19,0))</f>
        <v>698</v>
      </c>
    </row>
    <row collapsed="false" customFormat="false" customHeight="false" hidden="false" ht="14" outlineLevel="0" r="20">
      <c r="B20" s="797" t="str">
        <f aca="false">7_Prod_Scios_Grales_10!B82</f>
        <v>Neonatología</v>
      </c>
      <c r="C20" s="824" t="n">
        <f aca="false">17_Prog_Produc_2011!G39</f>
        <v>698</v>
      </c>
      <c r="D20" s="799" t="n">
        <f aca="false">7_Prod_Scios_Grales_10!G14</f>
        <v>0</v>
      </c>
      <c r="E20" s="825" t="n">
        <f aca="false">D20</f>
        <v>0</v>
      </c>
      <c r="F20" s="801" t="n">
        <f aca="false">IF(ISERROR($C20*E20),"",ROUND($C20*E20,0))</f>
        <v>0</v>
      </c>
      <c r="G20" s="799" t="n">
        <f aca="false">7_Prod_Scios_Grales_10!G34</f>
        <v>8.75808720112518</v>
      </c>
      <c r="H20" s="825" t="n">
        <f aca="false">G20</f>
        <v>8.75808720112518</v>
      </c>
      <c r="I20" s="801" t="n">
        <f aca="false">IF(ISERROR($C20*H20),"",ROUND($C20*H20,0))</f>
        <v>6113</v>
      </c>
      <c r="J20" s="799" t="n">
        <f aca="false">7_Prod_Scios_Grales_10!G54</f>
        <v>97.3122362869198</v>
      </c>
      <c r="K20" s="825" t="n">
        <f aca="false">J20</f>
        <v>97.3122362869198</v>
      </c>
      <c r="L20" s="801" t="n">
        <f aca="false">IF(ISERROR($C20*K20),"",ROUND($C20*K20,0))</f>
        <v>67924</v>
      </c>
      <c r="M20" s="799" t="n">
        <f aca="false">7_Prod_Scios_Grales_10!G82</f>
        <v>107.464135021097</v>
      </c>
      <c r="N20" s="825" t="n">
        <f aca="false">M20</f>
        <v>107.464135021097</v>
      </c>
      <c r="O20" s="801" t="n">
        <f aca="false">IF(ISERROR($C20*N20),"",ROUND($C20*N20,0))</f>
        <v>75010</v>
      </c>
      <c r="P20" s="799" t="n">
        <f aca="false">7_Prod_Scios_Grales_10!G111</f>
        <v>0.205344585091421</v>
      </c>
      <c r="Q20" s="825" t="n">
        <f aca="false">P20</f>
        <v>0.205344585091421</v>
      </c>
      <c r="R20" s="801" t="n">
        <f aca="false">IF(ISERROR($C20*Q20),"",ROUND($C20*Q20,0))</f>
        <v>143</v>
      </c>
      <c r="S20" s="799" t="n">
        <f aca="false">7_Prod_Scios_Grales_10!G139</f>
        <v>0.253164556962025</v>
      </c>
      <c r="T20" s="825" t="n">
        <f aca="false">S20</f>
        <v>0.253164556962025</v>
      </c>
      <c r="U20" s="801" t="n">
        <f aca="false">IF(ISERROR($C20*T20),"",ROUND($C20*T20,0))</f>
        <v>177</v>
      </c>
      <c r="V20" s="799" t="n">
        <f aca="false">7_Prod_Scios_Grales_10!G167</f>
        <v>5.41209563994374</v>
      </c>
      <c r="W20" s="825" t="n">
        <f aca="false">V20</f>
        <v>5.41209563994374</v>
      </c>
      <c r="X20" s="802" t="n">
        <f aca="false">IF(ISERROR($C20*W20),"",ROUND($C20*W20,0))</f>
        <v>3778</v>
      </c>
    </row>
    <row collapsed="false" customFormat="false" customHeight="false" hidden="false" ht="14" outlineLevel="0" r="21">
      <c r="B21" s="797" t="str">
        <f aca="false">7_Prod_Scios_Grales_10!B83</f>
        <v>Cirugía General</v>
      </c>
      <c r="C21" s="824" t="n">
        <f aca="false">17_Prog_Produc_2011!G41</f>
        <v>2575</v>
      </c>
      <c r="D21" s="799" t="n">
        <f aca="false">7_Prod_Scios_Grales_10!G15</f>
        <v>2.02406639004149</v>
      </c>
      <c r="E21" s="825" t="n">
        <f aca="false">D21</f>
        <v>2.02406639004149</v>
      </c>
      <c r="F21" s="801" t="n">
        <f aca="false">IF(ISERROR($C21*E21),"",ROUND($C21*E21,0))</f>
        <v>5212</v>
      </c>
      <c r="G21" s="799" t="n">
        <f aca="false">7_Prod_Scios_Grales_10!G35</f>
        <v>0.384232365145228</v>
      </c>
      <c r="H21" s="825" t="n">
        <f aca="false">G21</f>
        <v>0.384232365145228</v>
      </c>
      <c r="I21" s="801" t="n">
        <f aca="false">IF(ISERROR($C21*H21),"",ROUND($C21*H21,0))</f>
        <v>989</v>
      </c>
      <c r="J21" s="799" t="n">
        <f aca="false">7_Prod_Scios_Grales_10!G55</f>
        <v>3.1207468879668</v>
      </c>
      <c r="K21" s="825" t="n">
        <f aca="false">J21</f>
        <v>3.1207468879668</v>
      </c>
      <c r="L21" s="801" t="n">
        <f aca="false">IF(ISERROR($C21*K21),"",ROUND($C21*K21,0))</f>
        <v>8036</v>
      </c>
      <c r="M21" s="799" t="n">
        <f aca="false">7_Prod_Scios_Grales_10!G83</f>
        <v>25.2452282157676</v>
      </c>
      <c r="N21" s="825" t="n">
        <f aca="false">M21</f>
        <v>25.2452282157676</v>
      </c>
      <c r="O21" s="801" t="n">
        <f aca="false">IF(ISERROR($C21*N21),"",ROUND($C21*N21,0))</f>
        <v>65006</v>
      </c>
      <c r="P21" s="799" t="n">
        <f aca="false">7_Prod_Scios_Grales_10!G112</f>
        <v>0.0136929460580913</v>
      </c>
      <c r="Q21" s="825" t="n">
        <f aca="false">P21</f>
        <v>0.0136929460580913</v>
      </c>
      <c r="R21" s="801" t="n">
        <f aca="false">IF(ISERROR($C21*Q21),"",ROUND($C21*Q21,0))</f>
        <v>35</v>
      </c>
      <c r="S21" s="799" t="n">
        <f aca="false">7_Prod_Scios_Grales_10!G140</f>
        <v>0.0464730290456432</v>
      </c>
      <c r="T21" s="825" t="n">
        <f aca="false">S21</f>
        <v>0.0464730290456432</v>
      </c>
      <c r="U21" s="801" t="n">
        <f aca="false">IF(ISERROR($C21*T21),"",ROUND($C21*T21,0))</f>
        <v>120</v>
      </c>
      <c r="V21" s="799" t="n">
        <f aca="false">7_Prod_Scios_Grales_10!G168</f>
        <v>0.160165975103734</v>
      </c>
      <c r="W21" s="825" t="n">
        <f aca="false">V21</f>
        <v>0.160165975103734</v>
      </c>
      <c r="X21" s="802" t="n">
        <f aca="false">IF(ISERROR($C21*W21),"",ROUND($C21*W21,0))</f>
        <v>412</v>
      </c>
    </row>
    <row collapsed="false" customFormat="false" customHeight="false" hidden="false" ht="14" outlineLevel="0" r="22">
      <c r="B22" s="797" t="str">
        <f aca="false">7_Prod_Scios_Grales_10!B84</f>
        <v>Cirugía Plastica</v>
      </c>
      <c r="C22" s="824" t="n">
        <f aca="false">17_Prog_Produc_2011!G42</f>
        <v>1028</v>
      </c>
      <c r="D22" s="799" t="n">
        <f aca="false">7_Prod_Scios_Grales_10!G16</f>
        <v>4.46153846153846</v>
      </c>
      <c r="E22" s="825" t="n">
        <f aca="false">D22</f>
        <v>4.46153846153846</v>
      </c>
      <c r="F22" s="801" t="n">
        <f aca="false">IF(ISERROR($C22*E22),"",ROUND($C22*E22,0))</f>
        <v>4586</v>
      </c>
      <c r="G22" s="799" t="n">
        <f aca="false">7_Prod_Scios_Grales_10!G36</f>
        <v>1.54158004158004</v>
      </c>
      <c r="H22" s="825" t="n">
        <f aca="false">G22</f>
        <v>1.54158004158004</v>
      </c>
      <c r="I22" s="801" t="n">
        <f aca="false">IF(ISERROR($C22*H22),"",ROUND($C22*H22,0))</f>
        <v>1585</v>
      </c>
      <c r="J22" s="799" t="n">
        <f aca="false">7_Prod_Scios_Grales_10!G56</f>
        <v>10.2297297297297</v>
      </c>
      <c r="K22" s="825" t="n">
        <f aca="false">J22</f>
        <v>10.2297297297297</v>
      </c>
      <c r="L22" s="801" t="n">
        <f aca="false">IF(ISERROR($C22*K22),"",ROUND($C22*K22,0))</f>
        <v>10516</v>
      </c>
      <c r="M22" s="799" t="n">
        <f aca="false">7_Prod_Scios_Grales_10!G84</f>
        <v>67.4054054054054</v>
      </c>
      <c r="N22" s="825" t="n">
        <f aca="false">M22</f>
        <v>67.4054054054054</v>
      </c>
      <c r="O22" s="801" t="n">
        <f aca="false">IF(ISERROR($C22*N22),"",ROUND($C22*N22,0))</f>
        <v>69293</v>
      </c>
      <c r="P22" s="799" t="n">
        <f aca="false">7_Prod_Scios_Grales_10!G113</f>
        <v>0.0187110187110187</v>
      </c>
      <c r="Q22" s="825" t="n">
        <f aca="false">P22</f>
        <v>0.0187110187110187</v>
      </c>
      <c r="R22" s="801" t="n">
        <f aca="false">IF(ISERROR($C22*Q22),"",ROUND($C22*Q22,0))</f>
        <v>19</v>
      </c>
      <c r="S22" s="799" t="n">
        <f aca="false">7_Prod_Scios_Grales_10!G141</f>
        <v>0.0893970893970894</v>
      </c>
      <c r="T22" s="825" t="n">
        <f aca="false">S22</f>
        <v>0.0893970893970894</v>
      </c>
      <c r="U22" s="801" t="n">
        <f aca="false">IF(ISERROR($C22*T22),"",ROUND($C22*T22,0))</f>
        <v>92</v>
      </c>
      <c r="V22" s="799" t="n">
        <f aca="false">7_Prod_Scios_Grales_10!G169</f>
        <v>0.343035343035343</v>
      </c>
      <c r="W22" s="825" t="n">
        <f aca="false">V22</f>
        <v>0.343035343035343</v>
      </c>
      <c r="X22" s="802" t="n">
        <f aca="false">IF(ISERROR($C22*W22),"",ROUND($C22*W22,0))</f>
        <v>353</v>
      </c>
    </row>
    <row collapsed="false" customFormat="false" customHeight="false" hidden="false" ht="14" outlineLevel="0" r="23">
      <c r="B23" s="797" t="str">
        <f aca="false">7_Prod_Scios_Grales_10!B85</f>
        <v>Neurocirugía</v>
      </c>
      <c r="C23" s="824" t="n">
        <f aca="false">17_Prog_Produc_2011!G43</f>
        <v>1309</v>
      </c>
      <c r="D23" s="799" t="n">
        <f aca="false">7_Prod_Scios_Grales_10!G17</f>
        <v>3.203125</v>
      </c>
      <c r="E23" s="825" t="n">
        <f aca="false">D23</f>
        <v>3.203125</v>
      </c>
      <c r="F23" s="801" t="n">
        <f aca="false">IF(ISERROR($C23*E23),"",ROUND($C23*E23,0))</f>
        <v>4193</v>
      </c>
      <c r="G23" s="799" t="n">
        <f aca="false">7_Prod_Scios_Grales_10!G37</f>
        <v>3.65190972222222</v>
      </c>
      <c r="H23" s="825" t="n">
        <f aca="false">G23</f>
        <v>3.65190972222222</v>
      </c>
      <c r="I23" s="801" t="n">
        <f aca="false">IF(ISERROR($C23*H23),"",ROUND($C23*H23,0))</f>
        <v>4780</v>
      </c>
      <c r="J23" s="799" t="n">
        <f aca="false">7_Prod_Scios_Grales_10!G57</f>
        <v>28.3263888888889</v>
      </c>
      <c r="K23" s="825" t="n">
        <f aca="false">J23</f>
        <v>28.3263888888889</v>
      </c>
      <c r="L23" s="801" t="n">
        <f aca="false">IF(ISERROR($C23*K23),"",ROUND($C23*K23,0))</f>
        <v>37079</v>
      </c>
      <c r="M23" s="799" t="n">
        <f aca="false">7_Prod_Scios_Grales_10!G85</f>
        <v>44.9088541666667</v>
      </c>
      <c r="N23" s="825" t="n">
        <f aca="false">M23</f>
        <v>44.9088541666667</v>
      </c>
      <c r="O23" s="801" t="n">
        <f aca="false">IF(ISERROR($C23*N23),"",ROUND($C23*N23,0))</f>
        <v>58786</v>
      </c>
      <c r="P23" s="799" t="n">
        <f aca="false">7_Prod_Scios_Grales_10!G114</f>
        <v>0.0442708333333333</v>
      </c>
      <c r="Q23" s="825" t="n">
        <f aca="false">P23</f>
        <v>0.0442708333333333</v>
      </c>
      <c r="R23" s="801" t="n">
        <f aca="false">IF(ISERROR($C23*Q23),"",ROUND($C23*Q23,0))</f>
        <v>58</v>
      </c>
      <c r="S23" s="799" t="n">
        <f aca="false">7_Prod_Scios_Grales_10!G142</f>
        <v>0.0963541666666667</v>
      </c>
      <c r="T23" s="825" t="n">
        <f aca="false">S23</f>
        <v>0.0963541666666667</v>
      </c>
      <c r="U23" s="801" t="n">
        <f aca="false">IF(ISERROR($C23*T23),"",ROUND($C23*T23,0))</f>
        <v>126</v>
      </c>
      <c r="V23" s="799" t="n">
        <f aca="false">7_Prod_Scios_Grales_10!G170</f>
        <v>0.546875</v>
      </c>
      <c r="W23" s="825" t="n">
        <f aca="false">V23</f>
        <v>0.546875</v>
      </c>
      <c r="X23" s="802" t="n">
        <f aca="false">IF(ISERROR($C23*W23),"",ROUND($C23*W23,0))</f>
        <v>716</v>
      </c>
    </row>
    <row collapsed="false" customFormat="false" customHeight="false" hidden="false" ht="14" outlineLevel="0" r="24">
      <c r="B24" s="797" t="str">
        <f aca="false">7_Prod_Scios_Grales_10!B86</f>
        <v>Oftalmología</v>
      </c>
      <c r="C24" s="824" t="n">
        <f aca="false">17_Prog_Produc_2011!G44</f>
        <v>732</v>
      </c>
      <c r="D24" s="799" t="n">
        <f aca="false">7_Prod_Scios_Grales_10!G18</f>
        <v>2.35801104972376</v>
      </c>
      <c r="E24" s="825" t="n">
        <f aca="false">D24</f>
        <v>2.35801104972376</v>
      </c>
      <c r="F24" s="801" t="n">
        <f aca="false">IF(ISERROR($C24*E24),"",ROUND($C24*E24,0))</f>
        <v>1726</v>
      </c>
      <c r="G24" s="799" t="n">
        <f aca="false">7_Prod_Scios_Grales_10!G38</f>
        <v>0.722651933701657</v>
      </c>
      <c r="H24" s="825" t="n">
        <f aca="false">G24</f>
        <v>0.722651933701657</v>
      </c>
      <c r="I24" s="801" t="n">
        <f aca="false">IF(ISERROR($C24*H24),"",ROUND($C24*H24,0))</f>
        <v>529</v>
      </c>
      <c r="J24" s="799" t="n">
        <f aca="false">7_Prod_Scios_Grales_10!G58</f>
        <v>6.96574585635359</v>
      </c>
      <c r="K24" s="825" t="n">
        <f aca="false">J24</f>
        <v>6.96574585635359</v>
      </c>
      <c r="L24" s="801" t="n">
        <f aca="false">IF(ISERROR($C24*K24),"",ROUND($C24*K24,0))</f>
        <v>5099</v>
      </c>
      <c r="M24" s="799" t="n">
        <f aca="false">7_Prod_Scios_Grales_10!G86</f>
        <v>24.924861878453</v>
      </c>
      <c r="N24" s="825" t="n">
        <f aca="false">M24</f>
        <v>24.924861878453</v>
      </c>
      <c r="O24" s="801" t="n">
        <f aca="false">IF(ISERROR($C24*N24),"",ROUND($C24*N24,0))</f>
        <v>18245</v>
      </c>
      <c r="P24" s="799" t="n">
        <f aca="false">7_Prod_Scios_Grales_10!G115</f>
        <v>0.0121546961325967</v>
      </c>
      <c r="Q24" s="825" t="n">
        <f aca="false">P24</f>
        <v>0.0121546961325967</v>
      </c>
      <c r="R24" s="801" t="n">
        <f aca="false">IF(ISERROR($C24*Q24),"",ROUND($C24*Q24,0))</f>
        <v>9</v>
      </c>
      <c r="S24" s="799" t="n">
        <f aca="false">7_Prod_Scios_Grales_10!G143</f>
        <v>0.0762430939226519</v>
      </c>
      <c r="T24" s="825" t="n">
        <f aca="false">S24</f>
        <v>0.0762430939226519</v>
      </c>
      <c r="U24" s="801" t="n">
        <f aca="false">IF(ISERROR($C24*T24),"",ROUND($C24*T24,0))</f>
        <v>56</v>
      </c>
      <c r="V24" s="799" t="n">
        <f aca="false">7_Prod_Scios_Grales_10!G171</f>
        <v>0.478453038674033</v>
      </c>
      <c r="W24" s="825" t="n">
        <f aca="false">V24</f>
        <v>0.478453038674033</v>
      </c>
      <c r="X24" s="802" t="n">
        <f aca="false">IF(ISERROR($C24*W24),"",ROUND($C24*W24,0))</f>
        <v>350</v>
      </c>
    </row>
    <row collapsed="false" customFormat="false" customHeight="false" hidden="false" ht="14" outlineLevel="0" r="25">
      <c r="B25" s="797" t="str">
        <f aca="false">7_Prod_Scios_Grales_10!B87</f>
        <v>Otorrinolaringología</v>
      </c>
      <c r="C25" s="824" t="n">
        <f aca="false">17_Prog_Produc_2011!G45</f>
        <v>1713</v>
      </c>
      <c r="D25" s="799" t="n">
        <f aca="false">7_Prod_Scios_Grales_10!G19</f>
        <v>1.88859416445623</v>
      </c>
      <c r="E25" s="825" t="n">
        <f aca="false">D25</f>
        <v>1.88859416445623</v>
      </c>
      <c r="F25" s="801" t="n">
        <f aca="false">IF(ISERROR($C25*E25),"",ROUND($C25*E25,0))</f>
        <v>3235</v>
      </c>
      <c r="G25" s="799" t="n">
        <f aca="false">7_Prod_Scios_Grales_10!G39</f>
        <v>0</v>
      </c>
      <c r="H25" s="825" t="n">
        <f aca="false">G25</f>
        <v>0</v>
      </c>
      <c r="I25" s="801" t="n">
        <f aca="false">IF(ISERROR($C25*H25),"",ROUND($C25*H25,0))</f>
        <v>0</v>
      </c>
      <c r="J25" s="799" t="n">
        <f aca="false">7_Prod_Scios_Grales_10!G59</f>
        <v>0</v>
      </c>
      <c r="K25" s="825" t="n">
        <f aca="false">J25</f>
        <v>0</v>
      </c>
      <c r="L25" s="801" t="n">
        <f aca="false">IF(ISERROR($C25*K25),"",ROUND($C25*K25,0))</f>
        <v>0</v>
      </c>
      <c r="M25" s="799" t="n">
        <f aca="false">7_Prod_Scios_Grales_10!G87</f>
        <v>19.9442970822281</v>
      </c>
      <c r="N25" s="825" t="n">
        <f aca="false">M25</f>
        <v>19.9442970822281</v>
      </c>
      <c r="O25" s="801" t="n">
        <f aca="false">IF(ISERROR($C25*N25),"",ROUND($C25*N25,0))</f>
        <v>34165</v>
      </c>
      <c r="P25" s="799" t="n">
        <f aca="false">7_Prod_Scios_Grales_10!G116</f>
        <v>0.00707338638373121</v>
      </c>
      <c r="Q25" s="825" t="n">
        <f aca="false">P25</f>
        <v>0.00707338638373121</v>
      </c>
      <c r="R25" s="801" t="n">
        <f aca="false">IF(ISERROR($C25*Q25),"",ROUND($C25*Q25,0))</f>
        <v>12</v>
      </c>
      <c r="S25" s="799" t="n">
        <f aca="false">7_Prod_Scios_Grales_10!G144</f>
        <v>0</v>
      </c>
      <c r="T25" s="825" t="n">
        <f aca="false">S25</f>
        <v>0</v>
      </c>
      <c r="U25" s="801" t="n">
        <f aca="false">IF(ISERROR($C25*T25),"",ROUND($C25*T25,0))</f>
        <v>0</v>
      </c>
      <c r="V25" s="799" t="n">
        <f aca="false">7_Prod_Scios_Grales_10!G172</f>
        <v>0.10079575596817</v>
      </c>
      <c r="W25" s="825" t="n">
        <f aca="false">V25</f>
        <v>0.10079575596817</v>
      </c>
      <c r="X25" s="802" t="n">
        <f aca="false">IF(ISERROR($C25*W25),"",ROUND($C25*W25,0))</f>
        <v>173</v>
      </c>
    </row>
    <row collapsed="false" customFormat="false" customHeight="false" hidden="false" ht="14" outlineLevel="0" r="26">
      <c r="B26" s="797" t="str">
        <f aca="false">7_Prod_Scios_Grales_10!B88</f>
        <v>Ortopedia</v>
      </c>
      <c r="C26" s="824" t="n">
        <f aca="false">17_Prog_Produc_2011!G46</f>
        <v>838</v>
      </c>
      <c r="D26" s="799" t="n">
        <f aca="false">7_Prod_Scios_Grales_10!G20</f>
        <v>7.18271954674221</v>
      </c>
      <c r="E26" s="825" t="n">
        <f aca="false">D26</f>
        <v>7.18271954674221</v>
      </c>
      <c r="F26" s="801" t="n">
        <f aca="false">IF(ISERROR($C26*E26),"",ROUND($C26*E26,0))</f>
        <v>6019</v>
      </c>
      <c r="G26" s="799" t="n">
        <f aca="false">7_Prod_Scios_Grales_10!G40</f>
        <v>0.764872521246459</v>
      </c>
      <c r="H26" s="825" t="n">
        <f aca="false">G26</f>
        <v>0.764872521246459</v>
      </c>
      <c r="I26" s="801" t="n">
        <f aca="false">IF(ISERROR($C26*H26),"",ROUND($C26*H26,0))</f>
        <v>641</v>
      </c>
      <c r="J26" s="799" t="n">
        <f aca="false">7_Prod_Scios_Grales_10!G60</f>
        <v>11.1232294617564</v>
      </c>
      <c r="K26" s="825" t="n">
        <f aca="false">J26</f>
        <v>11.1232294617564</v>
      </c>
      <c r="L26" s="801" t="n">
        <f aca="false">IF(ISERROR($C26*K26),"",ROUND($C26*K26,0))</f>
        <v>9321</v>
      </c>
      <c r="M26" s="799" t="n">
        <f aca="false">7_Prod_Scios_Grales_10!G88</f>
        <v>65.3498583569405</v>
      </c>
      <c r="N26" s="825" t="n">
        <f aca="false">M26</f>
        <v>65.3498583569405</v>
      </c>
      <c r="O26" s="801" t="n">
        <f aca="false">IF(ISERROR($C26*N26),"",ROUND($C26*N26,0))</f>
        <v>54763</v>
      </c>
      <c r="P26" s="799" t="n">
        <f aca="false">7_Prod_Scios_Grales_10!G117</f>
        <v>0.0212464589235127</v>
      </c>
      <c r="Q26" s="825" t="n">
        <f aca="false">P26</f>
        <v>0.0212464589235127</v>
      </c>
      <c r="R26" s="801" t="n">
        <f aca="false">IF(ISERROR($C26*Q26),"",ROUND($C26*Q26,0))</f>
        <v>18</v>
      </c>
      <c r="S26" s="799" t="n">
        <f aca="false">7_Prod_Scios_Grales_10!G145</f>
        <v>0.0793201133144476</v>
      </c>
      <c r="T26" s="825" t="n">
        <f aca="false">S26</f>
        <v>0.0793201133144476</v>
      </c>
      <c r="U26" s="801" t="n">
        <f aca="false">IF(ISERROR($C26*T26),"",ROUND($C26*T26,0))</f>
        <v>66</v>
      </c>
      <c r="V26" s="799" t="n">
        <f aca="false">7_Prod_Scios_Grales_10!G173</f>
        <v>0.252124645892351</v>
      </c>
      <c r="W26" s="825" t="n">
        <f aca="false">V26</f>
        <v>0.252124645892351</v>
      </c>
      <c r="X26" s="802" t="n">
        <f aca="false">IF(ISERROR($C26*W26),"",ROUND($C26*W26,0))</f>
        <v>211</v>
      </c>
    </row>
    <row collapsed="false" customFormat="false" customHeight="false" hidden="false" ht="14" outlineLevel="0" r="27">
      <c r="B27" s="797" t="str">
        <f aca="false">7_Prod_Scios_Grales_10!B89</f>
        <v>Otros Servicios (Convenios / BM / ISSS)</v>
      </c>
      <c r="C27" s="824" t="n">
        <f aca="false">17_Prog_Produc_2011!G47</f>
        <v>1213</v>
      </c>
      <c r="D27" s="799" t="n">
        <f aca="false">7_Prod_Scios_Grales_10!G21</f>
        <v>2.12115563839702</v>
      </c>
      <c r="E27" s="825" t="n">
        <f aca="false">D27</f>
        <v>2.12115563839702</v>
      </c>
      <c r="F27" s="801" t="n">
        <f aca="false">IF(ISERROR($C27*E27),"",ROUND($C27*E27,0))</f>
        <v>2573</v>
      </c>
      <c r="G27" s="799" t="n">
        <f aca="false">7_Prod_Scios_Grales_10!G41</f>
        <v>0.493942218080149</v>
      </c>
      <c r="H27" s="825" t="n">
        <f aca="false">G27</f>
        <v>0.493942218080149</v>
      </c>
      <c r="I27" s="801" t="n">
        <f aca="false">IF(ISERROR($C27*H27),"",ROUND($C27*H27,0))</f>
        <v>599</v>
      </c>
      <c r="J27" s="799" t="n">
        <f aca="false">7_Prod_Scios_Grales_10!G61</f>
        <v>4.93476234855545</v>
      </c>
      <c r="K27" s="825" t="n">
        <f aca="false">J27</f>
        <v>4.93476234855545</v>
      </c>
      <c r="L27" s="801" t="n">
        <f aca="false">IF(ISERROR($C27*K27),"",ROUND($C27*K27,0))</f>
        <v>5986</v>
      </c>
      <c r="M27" s="799" t="n">
        <f aca="false">7_Prod_Scios_Grales_10!G89</f>
        <v>32.5796831314073</v>
      </c>
      <c r="N27" s="825" t="n">
        <f aca="false">M27</f>
        <v>32.5796831314073</v>
      </c>
      <c r="O27" s="801" t="n">
        <f aca="false">IF(ISERROR($C27*N27),"",ROUND($C27*N27,0))</f>
        <v>39519</v>
      </c>
      <c r="P27" s="799" t="n">
        <f aca="false">7_Prod_Scios_Grales_10!G118</f>
        <v>0.0260950605778192</v>
      </c>
      <c r="Q27" s="825" t="n">
        <f aca="false">P27</f>
        <v>0.0260950605778192</v>
      </c>
      <c r="R27" s="801" t="n">
        <f aca="false">IF(ISERROR($C27*Q27),"",ROUND($C27*Q27,0))</f>
        <v>32</v>
      </c>
      <c r="S27" s="799" t="n">
        <f aca="false">7_Prod_Scios_Grales_10!G146</f>
        <v>0.108108108108108</v>
      </c>
      <c r="T27" s="825" t="n">
        <f aca="false">S27</f>
        <v>0.108108108108108</v>
      </c>
      <c r="U27" s="801" t="n">
        <f aca="false">IF(ISERROR($C27*T27),"",ROUND($C27*T27,0))</f>
        <v>131</v>
      </c>
      <c r="V27" s="799" t="n">
        <f aca="false">7_Prod_Scios_Grales_10!G174</f>
        <v>0</v>
      </c>
      <c r="W27" s="825" t="n">
        <f aca="false">V27</f>
        <v>0</v>
      </c>
      <c r="X27" s="802" t="n">
        <f aca="false">IF(ISERROR($C27*W27),"",ROUND($C27*W27,0))</f>
        <v>0</v>
      </c>
    </row>
    <row collapsed="false" customFormat="false" customHeight="false" hidden="false" ht="14" outlineLevel="0" r="28">
      <c r="B28" s="806" t="str">
        <f aca="false">7_Prod_Scios_Grales_10!B90</f>
        <v>Cuidados Criticos</v>
      </c>
      <c r="C28" s="826"/>
      <c r="D28" s="808"/>
      <c r="E28" s="808"/>
      <c r="F28" s="809"/>
      <c r="G28" s="808"/>
      <c r="H28" s="808"/>
      <c r="I28" s="809"/>
      <c r="J28" s="808"/>
      <c r="K28" s="808"/>
      <c r="L28" s="809"/>
      <c r="M28" s="808"/>
      <c r="N28" s="808"/>
      <c r="O28" s="809"/>
      <c r="P28" s="808"/>
      <c r="Q28" s="808"/>
      <c r="R28" s="809"/>
      <c r="S28" s="808"/>
      <c r="T28" s="808"/>
      <c r="U28" s="809"/>
      <c r="V28" s="808"/>
      <c r="W28" s="808"/>
      <c r="X28" s="810"/>
    </row>
    <row collapsed="false" customFormat="false" customHeight="false" hidden="false" ht="14" outlineLevel="0" r="29">
      <c r="B29" s="797" t="str">
        <f aca="false">7_Prod_Scios_Grales_10!B91</f>
        <v>Unidad de Cuidados Intensivos</v>
      </c>
      <c r="C29" s="824" t="n">
        <f aca="false">17_Prog_Produc_2011!G54</f>
        <v>942</v>
      </c>
      <c r="D29" s="799" t="n">
        <f aca="false">7_Prod_Scios_Grales_10!G23</f>
        <v>0.640388768898488</v>
      </c>
      <c r="E29" s="800" t="n">
        <f aca="false">D29</f>
        <v>0.640388768898488</v>
      </c>
      <c r="F29" s="801" t="n">
        <f aca="false">IF(ISERROR($C29*E29),"",ROUND($C29*E29,0))</f>
        <v>603</v>
      </c>
      <c r="G29" s="799" t="n">
        <f aca="false">7_Prod_Scios_Grales_10!G43</f>
        <v>4.08855291576674</v>
      </c>
      <c r="H29" s="800" t="n">
        <f aca="false">G29</f>
        <v>4.08855291576674</v>
      </c>
      <c r="I29" s="801" t="n">
        <f aca="false">IF(ISERROR($C29*H29),"",ROUND($C29*H29,0))</f>
        <v>3851</v>
      </c>
      <c r="J29" s="799" t="n">
        <f aca="false">7_Prod_Scios_Grales_10!G63</f>
        <v>19.2116630669546</v>
      </c>
      <c r="K29" s="800" t="n">
        <f aca="false">J29</f>
        <v>19.2116630669546</v>
      </c>
      <c r="L29" s="801" t="n">
        <f aca="false">IF(ISERROR($C29*K29),"",ROUND($C29*K29,0))</f>
        <v>18097</v>
      </c>
      <c r="M29" s="799" t="n">
        <f aca="false">7_Prod_Scios_Grales_10!G91</f>
        <v>70.8628509719222</v>
      </c>
      <c r="N29" s="800" t="n">
        <f aca="false">M29</f>
        <v>70.8628509719222</v>
      </c>
      <c r="O29" s="801" t="n">
        <f aca="false">IF(ISERROR($C29*N29),"",ROUND($C29*N29,0))</f>
        <v>66753</v>
      </c>
      <c r="P29" s="799" t="n">
        <f aca="false">7_Prod_Scios_Grales_10!G120</f>
        <v>0.250539956803456</v>
      </c>
      <c r="Q29" s="800" t="n">
        <f aca="false">P29</f>
        <v>0.250539956803456</v>
      </c>
      <c r="R29" s="801" t="n">
        <f aca="false">IF(ISERROR($C29*Q29),"",ROUND($C29*Q29,0))</f>
        <v>236</v>
      </c>
      <c r="S29" s="799" t="n">
        <f aca="false">7_Prod_Scios_Grales_10!G148</f>
        <v>0.211663066954644</v>
      </c>
      <c r="T29" s="800" t="n">
        <f aca="false">S29</f>
        <v>0.211663066954644</v>
      </c>
      <c r="U29" s="801" t="n">
        <f aca="false">IF(ISERROR($C29*T29),"",ROUND($C29*T29,0))</f>
        <v>199</v>
      </c>
      <c r="V29" s="799" t="n">
        <f aca="false">7_Prod_Scios_Grales_10!G176</f>
        <v>1.09935205183585</v>
      </c>
      <c r="W29" s="800" t="n">
        <f aca="false">V29</f>
        <v>1.09935205183585</v>
      </c>
      <c r="X29" s="802" t="n">
        <f aca="false">IF(ISERROR($C29*W29),"",ROUND($C29*W29,0))</f>
        <v>1036</v>
      </c>
    </row>
    <row collapsed="false" customFormat="false" customHeight="false" hidden="false" ht="14" outlineLevel="0" r="30">
      <c r="B30" s="797" t="str">
        <f aca="false">7_Prod_Scios_Grales_10!B92</f>
        <v>Unidad de Cuidados Intermedios</v>
      </c>
      <c r="C30" s="824" t="n">
        <f aca="false">17_Prog_Produc_2011!G55</f>
        <v>244</v>
      </c>
      <c r="D30" s="799" t="n">
        <f aca="false">7_Prod_Scios_Grales_10!G24</f>
        <v>0.578947368421053</v>
      </c>
      <c r="E30" s="800" t="n">
        <f aca="false">D30</f>
        <v>0.578947368421053</v>
      </c>
      <c r="F30" s="801" t="n">
        <f aca="false">IF(ISERROR($C30*E30),"",ROUND($C30*E30,0))</f>
        <v>141</v>
      </c>
      <c r="G30" s="799" t="n">
        <f aca="false">7_Prod_Scios_Grales_10!G44</f>
        <v>17.5708502024292</v>
      </c>
      <c r="H30" s="800" t="n">
        <f aca="false">G30</f>
        <v>17.5708502024292</v>
      </c>
      <c r="I30" s="801" t="n">
        <f aca="false">IF(ISERROR($C30*H30),"",ROUND($C30*H30,0))</f>
        <v>4287</v>
      </c>
      <c r="J30" s="799" t="n">
        <f aca="false">7_Prod_Scios_Grales_10!G64</f>
        <v>49.1174089068826</v>
      </c>
      <c r="K30" s="800" t="n">
        <f aca="false">J30</f>
        <v>49.1174089068826</v>
      </c>
      <c r="L30" s="801" t="n">
        <f aca="false">IF(ISERROR($C30*K30),"",ROUND($C30*K30,0))</f>
        <v>11985</v>
      </c>
      <c r="M30" s="799" t="n">
        <f aca="false">7_Prod_Scios_Grales_10!G92</f>
        <v>93.3522267206478</v>
      </c>
      <c r="N30" s="800" t="n">
        <f aca="false">M30</f>
        <v>93.3522267206478</v>
      </c>
      <c r="O30" s="801" t="n">
        <f aca="false">IF(ISERROR($C30*N30),"",ROUND($C30*N30,0))</f>
        <v>22778</v>
      </c>
      <c r="P30" s="799" t="n">
        <f aca="false">7_Prod_Scios_Grales_10!G121</f>
        <v>0.348178137651822</v>
      </c>
      <c r="Q30" s="800" t="n">
        <f aca="false">P30</f>
        <v>0.348178137651822</v>
      </c>
      <c r="R30" s="801" t="n">
        <f aca="false">IF(ISERROR($C30*Q30),"",ROUND($C30*Q30,0))</f>
        <v>85</v>
      </c>
      <c r="S30" s="799" t="n">
        <f aca="false">7_Prod_Scios_Grales_10!G149</f>
        <v>0.331983805668016</v>
      </c>
      <c r="T30" s="800" t="n">
        <f aca="false">S30</f>
        <v>0.331983805668016</v>
      </c>
      <c r="U30" s="801" t="n">
        <f aca="false">IF(ISERROR($C30*T30),"",ROUND($C30*T30,0))</f>
        <v>81</v>
      </c>
      <c r="V30" s="799" t="n">
        <f aca="false">7_Prod_Scios_Grales_10!G177</f>
        <v>2.68016194331984</v>
      </c>
      <c r="W30" s="800" t="n">
        <f aca="false">V30</f>
        <v>2.68016194331984</v>
      </c>
      <c r="X30" s="802" t="n">
        <f aca="false">IF(ISERROR($C30*W30),"",ROUND($C30*W30,0))</f>
        <v>654</v>
      </c>
    </row>
    <row collapsed="false" customFormat="false" customHeight="false" hidden="false" ht="14" outlineLevel="0" r="31">
      <c r="B31" s="811" t="str">
        <f aca="false">7_Prod_Scios_Grales_10!B93</f>
        <v>Unidad de Cuidados Intensivos Neonatales</v>
      </c>
      <c r="C31" s="827" t="n">
        <f aca="false">17_Prog_Produc_2011!G56</f>
        <v>474</v>
      </c>
      <c r="D31" s="813" t="n">
        <f aca="false">7_Prod_Scios_Grales_10!G25</f>
        <v>0</v>
      </c>
      <c r="E31" s="814" t="n">
        <f aca="false">D31</f>
        <v>0</v>
      </c>
      <c r="F31" s="815" t="n">
        <f aca="false">IF(ISERROR($C31*E31),"",ROUND($C31*E31,0))</f>
        <v>0</v>
      </c>
      <c r="G31" s="813" t="n">
        <f aca="false">7_Prod_Scios_Grales_10!G45</f>
        <v>3.27505330490405</v>
      </c>
      <c r="H31" s="814" t="n">
        <f aca="false">G31</f>
        <v>3.27505330490405</v>
      </c>
      <c r="I31" s="815" t="n">
        <f aca="false">IF(ISERROR($C31*H31),"",ROUND($C31*H31,0))</f>
        <v>1552</v>
      </c>
      <c r="J31" s="813" t="n">
        <f aca="false">7_Prod_Scios_Grales_10!G65</f>
        <v>39.6076759061834</v>
      </c>
      <c r="K31" s="814" t="n">
        <f aca="false">J31</f>
        <v>39.6076759061834</v>
      </c>
      <c r="L31" s="815" t="n">
        <f aca="false">IF(ISERROR($C31*K31),"",ROUND($C31*K31,0))</f>
        <v>18774</v>
      </c>
      <c r="M31" s="813" t="n">
        <f aca="false">7_Prod_Scios_Grales_10!G93</f>
        <v>139.889125799574</v>
      </c>
      <c r="N31" s="814" t="n">
        <f aca="false">M31</f>
        <v>139.889125799574</v>
      </c>
      <c r="O31" s="815" t="n">
        <f aca="false">IF(ISERROR($C31*N31),"",ROUND($C31*N31,0))</f>
        <v>66307</v>
      </c>
      <c r="P31" s="813" t="n">
        <f aca="false">7_Prod_Scios_Grales_10!G122</f>
        <v>0.353944562899787</v>
      </c>
      <c r="Q31" s="814" t="n">
        <f aca="false">P31</f>
        <v>0.353944562899787</v>
      </c>
      <c r="R31" s="815" t="n">
        <f aca="false">IF(ISERROR($C31*Q31),"",ROUND($C31*Q31,0))</f>
        <v>168</v>
      </c>
      <c r="S31" s="813" t="n">
        <f aca="false">7_Prod_Scios_Grales_10!G150</f>
        <v>0.358208955223881</v>
      </c>
      <c r="T31" s="814" t="n">
        <f aca="false">S31</f>
        <v>0.358208955223881</v>
      </c>
      <c r="U31" s="815" t="n">
        <f aca="false">IF(ISERROR($C31*T31),"",ROUND($C31*T31,0))</f>
        <v>170</v>
      </c>
      <c r="V31" s="813" t="n">
        <f aca="false">7_Prod_Scios_Grales_10!G178</f>
        <v>6.31556503198294</v>
      </c>
      <c r="W31" s="814" t="n">
        <f aca="false">V31</f>
        <v>6.31556503198294</v>
      </c>
      <c r="X31" s="816" t="n">
        <f aca="false">IF(ISERROR($C31*W31),"",ROUND($C31*W31,0))</f>
        <v>2994</v>
      </c>
    </row>
    <row collapsed="false" customFormat="false" customHeight="false" hidden="false" ht="15.65" outlineLevel="0" r="33">
      <c r="B33" s="821" t="s">
        <v>226</v>
      </c>
      <c r="C33" s="668"/>
      <c r="D33" s="668"/>
      <c r="E33" s="668"/>
      <c r="F33" s="822" t="n">
        <f aca="false">SUM(F6:F31)</f>
        <v>49565</v>
      </c>
      <c r="G33" s="668"/>
      <c r="H33" s="668"/>
      <c r="I33" s="822" t="n">
        <f aca="false">SUM(I6:I31)</f>
        <v>39560</v>
      </c>
      <c r="J33" s="668"/>
      <c r="K33" s="668"/>
      <c r="L33" s="822" t="n">
        <f aca="false">SUM(L6:L31)</f>
        <v>308953</v>
      </c>
      <c r="M33" s="668"/>
      <c r="N33" s="668"/>
      <c r="O33" s="822" t="n">
        <f aca="false">SUM(O6:O31)</f>
        <v>997046</v>
      </c>
      <c r="P33" s="668"/>
      <c r="Q33" s="668"/>
      <c r="R33" s="822" t="n">
        <f aca="false">SUM(R6:R31)</f>
        <v>1240</v>
      </c>
      <c r="S33" s="668"/>
      <c r="T33" s="668"/>
      <c r="U33" s="822" t="n">
        <f aca="false">SUM(U6:U31)</f>
        <v>2355</v>
      </c>
      <c r="V33" s="668"/>
      <c r="W33" s="668"/>
      <c r="X33" s="822" t="n">
        <f aca="false">SUM(X6:X31)</f>
        <v>34327</v>
      </c>
    </row>
  </sheetData>
  <mergeCells count="9">
    <mergeCell ref="B3:B4"/>
    <mergeCell ref="C3:C4"/>
    <mergeCell ref="D3:E3"/>
    <mergeCell ref="G3:H3"/>
    <mergeCell ref="J3:K3"/>
    <mergeCell ref="M3:N3"/>
    <mergeCell ref="P3:Q3"/>
    <mergeCell ref="S3:T3"/>
    <mergeCell ref="V3:W3"/>
  </mergeCells>
  <printOptions headings="false" gridLines="false" gridLinesSet="true" horizontalCentered="false" verticalCentered="false"/>
  <pageMargins left="0.708333333333333" right="0.354166666666667" top="0.747916666666667" bottom="0.747916666666667" header="0.511805555555555" footer="0.511805555555555"/>
  <pageSetup blackAndWhite="false" cellComments="none" copies="1" draft="false" firstPageNumber="0" fitToHeight="1" fitToWidth="1" horizontalDpi="300" orientation="landscape" pageOrder="downThenOver" paperSize="77" scale="85" useFirstPageNumber="false" usePrinterDefaults="false" verticalDpi="300"/>
  <headerFooter differentFirst="false" differentOddEven="false">
    <oddHeader/>
    <oddFooter/>
  </headerFooter>
</worksheet>
</file>

<file path=xl/worksheets/sheet24.xml><?xml version="1.0" encoding="utf-8"?>
<worksheet xmlns="http://schemas.openxmlformats.org/spreadsheetml/2006/main" xmlns:r="http://schemas.openxmlformats.org/officeDocument/2006/relationships">
  <sheetPr filterMode="false">
    <pageSetUpPr fitToPage="false"/>
  </sheetPr>
  <dimension ref="A1:I38"/>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Right" topLeftCell="C4" xSplit="2" ySplit="3"/>
      <selection activeCell="A1" activeCellId="0" pane="topLeft" sqref="A1"/>
      <selection activeCell="C1" activeCellId="0" pane="topRight" sqref="C1"/>
      <selection activeCell="A4" activeCellId="0" pane="bottomLeft" sqref="A4"/>
      <selection activeCell="C10" activeCellId="0" pane="bottomRight" sqref="C10"/>
    </sheetView>
  </sheetViews>
  <cols>
    <col collapsed="false" hidden="false" max="1" min="1" style="499" width="2.29411764705882"/>
    <col collapsed="false" hidden="false" max="2" min="2" style="499" width="54.3686274509804"/>
    <col collapsed="false" hidden="false" max="4" min="3" style="499" width="14.7725490196078"/>
    <col collapsed="false" hidden="false" max="7" min="5" style="499" width="11.4745098039216"/>
    <col collapsed="false" hidden="false" max="8" min="8" style="499" width="13.3372549019608"/>
    <col collapsed="false" hidden="false" max="257" min="9" style="499" width="11.4745098039216"/>
  </cols>
  <sheetData>
    <row collapsed="false" customFormat="true" customHeight="false" hidden="false" ht="15.2" outlineLevel="0" r="1" s="828">
      <c r="B1" s="562" t="s">
        <v>795</v>
      </c>
      <c r="C1" s="562"/>
      <c r="D1" s="562"/>
    </row>
    <row collapsed="false" customFormat="false" customHeight="true" hidden="false" ht="18" outlineLevel="0" r="3">
      <c r="A3" s="829"/>
      <c r="B3" s="830" t="s">
        <v>654</v>
      </c>
      <c r="C3" s="831" t="n">
        <v>2010</v>
      </c>
      <c r="D3" s="758" t="n">
        <v>2011</v>
      </c>
    </row>
    <row collapsed="false" customFormat="false" customHeight="false" hidden="false" ht="12.8" outlineLevel="0" r="4">
      <c r="A4" s="832"/>
      <c r="B4" s="833" t="str">
        <f aca="false">12_Indic_Gestion_Scios!B4</f>
        <v>Tiempo promedio de espera para consulta de medicina especializada</v>
      </c>
      <c r="C4" s="834"/>
      <c r="D4" s="835"/>
    </row>
    <row collapsed="false" customFormat="false" customHeight="false" hidden="false" ht="12.8" outlineLevel="0" r="5">
      <c r="A5" s="832"/>
      <c r="B5" s="836" t="str">
        <f aca="false">12_Indic_Gestion_Scios!B5</f>
        <v>Pediatria General</v>
      </c>
      <c r="C5" s="837" t="str">
        <f aca="false">12_Indic_Gestion_Scios!D5</f>
        <v>N/A</v>
      </c>
      <c r="D5" s="838" t="n">
        <v>0</v>
      </c>
    </row>
    <row collapsed="false" customFormat="false" customHeight="false" hidden="false" ht="12.8" outlineLevel="0" r="6">
      <c r="A6" s="832"/>
      <c r="B6" s="836" t="str">
        <f aca="false">12_Indic_Gestion_Scios!B6</f>
        <v>Cirugia Pediátrica General</v>
      </c>
      <c r="C6" s="837" t="n">
        <f aca="false">12_Indic_Gestion_Scios!D6</f>
        <v>48</v>
      </c>
      <c r="D6" s="838" t="n">
        <v>48</v>
      </c>
    </row>
    <row collapsed="false" customFormat="false" customHeight="false" hidden="false" ht="12.8" outlineLevel="0" r="7">
      <c r="A7" s="832"/>
      <c r="B7" s="836" t="str">
        <f aca="false">12_Indic_Gestion_Scios!B7</f>
        <v>Neonatología</v>
      </c>
      <c r="C7" s="837" t="str">
        <f aca="false">12_Indic_Gestion_Scios!D7</f>
        <v>N/A</v>
      </c>
      <c r="D7" s="838" t="n">
        <v>0</v>
      </c>
    </row>
    <row collapsed="false" customFormat="false" customHeight="false" hidden="false" ht="12.8" outlineLevel="0" r="8">
      <c r="A8" s="832"/>
      <c r="B8" s="836" t="str">
        <f aca="false">12_Indic_Gestion_Scios!B8</f>
        <v>Pediatria especializada</v>
      </c>
      <c r="C8" s="837" t="n">
        <f aca="false">12_Indic_Gestion_Scios!D8</f>
        <v>60</v>
      </c>
      <c r="D8" s="838" t="n">
        <v>60</v>
      </c>
    </row>
    <row collapsed="false" customFormat="false" customHeight="false" hidden="false" ht="12.8" outlineLevel="0" r="9">
      <c r="A9" s="832"/>
      <c r="B9" s="836" t="str">
        <f aca="false">12_Indic_Gestion_Scios!B9</f>
        <v>Cirugia Pediátrica Especilaizada</v>
      </c>
      <c r="C9" s="837" t="n">
        <f aca="false">12_Indic_Gestion_Scios!D9</f>
        <v>48</v>
      </c>
      <c r="D9" s="838" t="n">
        <v>48</v>
      </c>
    </row>
    <row collapsed="false" customFormat="false" customHeight="false" hidden="false" ht="12.8" outlineLevel="0" r="10">
      <c r="A10" s="832"/>
      <c r="B10" s="833" t="str">
        <f aca="false">12_Indic_Gestion_Scios!B10</f>
        <v>Tiempo promedio de espera para cirugía electiva</v>
      </c>
      <c r="C10" s="837"/>
      <c r="D10" s="838" t="s">
        <v>597</v>
      </c>
    </row>
    <row collapsed="false" customFormat="false" customHeight="false" hidden="false" ht="14.9" outlineLevel="0" r="11">
      <c r="A11" s="832"/>
      <c r="B11" s="836" t="str">
        <f aca="false">12_Indic_Gestion_Scios!B13</f>
        <v>Porcentaje de Cirugías electivas canceladas</v>
      </c>
      <c r="C11" s="839" t="inlineStr">
        <f aca="false">12_Indic_Gestion_Scios!D13</f>
        <is>
          <t/>
        </is>
      </c>
      <c r="D11" s="840" t="n">
        <v>0.13</v>
      </c>
      <c r="I11" s="841"/>
    </row>
    <row collapsed="false" customFormat="false" customHeight="false" hidden="false" ht="12.8" outlineLevel="0" r="12">
      <c r="A12" s="832"/>
      <c r="B12" s="836" t="str">
        <f aca="false">12_Indic_Gestion_Scios!B15</f>
        <v>Porcentaje infecciones nosocomiales</v>
      </c>
      <c r="C12" s="842" t="inlineStr">
        <f aca="false">12_Indic_Gestion_Scios!D15</f>
        <is>
          <t/>
        </is>
      </c>
      <c r="D12" s="843" t="n">
        <v>0.025</v>
      </c>
      <c r="I12" s="841"/>
    </row>
    <row collapsed="false" customFormat="false" customHeight="false" hidden="false" ht="14.9" outlineLevel="0" r="13">
      <c r="B13" s="836" t="str">
        <f aca="false">12_Indic_Gestion_Scios!B17</f>
        <v>Porcentaje muertes intrahospitalarias antes de 48 horas</v>
      </c>
      <c r="C13" s="844" t="inlineStr">
        <f aca="false">12_Indic_Gestion_Scios!D17</f>
        <is>
          <t/>
        </is>
      </c>
      <c r="D13" s="840" t="n">
        <v>0.005</v>
      </c>
    </row>
    <row collapsed="false" customFormat="false" customHeight="false" hidden="false" ht="14.9" outlineLevel="0" r="14">
      <c r="B14" s="836" t="str">
        <f aca="false">12_Indic_Gestion_Scios!B19</f>
        <v>Porcentaje muertes intrahospitalarias después de 48 horas</v>
      </c>
      <c r="C14" s="844" t="inlineStr">
        <f aca="false">12_Indic_Gestion_Scios!D19</f>
        <is>
          <t/>
        </is>
      </c>
      <c r="D14" s="840" t="n">
        <v>0.028</v>
      </c>
    </row>
    <row collapsed="false" customFormat="false" customHeight="false" hidden="false" ht="12.8" outlineLevel="0" r="15">
      <c r="B15" s="833" t="str">
        <f aca="false">12_Indic_Gestion_Scios!B20</f>
        <v>Pacientes recibidos de otras Instituciones.</v>
      </c>
      <c r="C15" s="845" t="n">
        <f aca="false">SUM(C16:C19)</f>
        <v>987</v>
      </c>
      <c r="D15" s="846" t="n">
        <f aca="false">SUM(D16:D19)</f>
        <v>0</v>
      </c>
    </row>
    <row collapsed="false" customFormat="false" customHeight="false" hidden="false" ht="23.85" outlineLevel="0" r="16">
      <c r="B16" s="836" t="str">
        <f aca="false">12_Indic_Gestion_Scios!B21</f>
        <v>Número total de pacientes recibidos para atención de Consulta Médica Especializada</v>
      </c>
      <c r="C16" s="847" t="n">
        <f aca="false">12_Indic_Gestion_Scios!D21</f>
        <v>987</v>
      </c>
      <c r="D16" s="848" t="s">
        <v>796</v>
      </c>
    </row>
    <row collapsed="false" customFormat="false" customHeight="false" hidden="false" ht="12.8" outlineLevel="0" r="17">
      <c r="B17" s="836" t="str">
        <f aca="false">12_Indic_Gestion_Scios!B22</f>
        <v>Número total de pacientes recibidos para la atención del Parto</v>
      </c>
      <c r="C17" s="847" t="str">
        <f aca="false">12_Indic_Gestion_Scios!D22</f>
        <v>N/A</v>
      </c>
      <c r="D17" s="848" t="s">
        <v>350</v>
      </c>
    </row>
    <row collapsed="false" customFormat="false" customHeight="false" hidden="false" ht="12.8" outlineLevel="0" r="18">
      <c r="B18" s="836" t="str">
        <f aca="false">12_Indic_Gestion_Scios!B23</f>
        <v>Número total de pacientes recibidos para Hospitalización No Quirúrgica</v>
      </c>
      <c r="C18" s="847" t="str">
        <f aca="false">12_Indic_Gestion_Scios!D23</f>
        <v>N/D</v>
      </c>
      <c r="D18" s="848" t="s">
        <v>796</v>
      </c>
    </row>
    <row collapsed="false" customFormat="false" customHeight="false" hidden="false" ht="23.85" outlineLevel="0" r="19">
      <c r="B19" s="836" t="str">
        <f aca="false">12_Indic_Gestion_Scios!B24</f>
        <v>Número total de pacientes recibidos para la realización de procedimientos quirúrgicos</v>
      </c>
      <c r="C19" s="847" t="str">
        <f aca="false">12_Indic_Gestion_Scios!D24</f>
        <v>N/D</v>
      </c>
      <c r="D19" s="848" t="s">
        <v>796</v>
      </c>
    </row>
    <row collapsed="false" customFormat="false" customHeight="false" hidden="false" ht="12.8" outlineLevel="0" r="20">
      <c r="B20" s="833" t="str">
        <f aca="false">12_Indic_Gestion_Scios!B25</f>
        <v>Pacientes referidos a otras instituciones.</v>
      </c>
      <c r="C20" s="845" t="n">
        <f aca="false">SUM(C21:C24)</f>
        <v>497</v>
      </c>
      <c r="D20" s="846" t="n">
        <f aca="false">SUM(D21:D24)</f>
        <v>0</v>
      </c>
    </row>
    <row collapsed="false" customFormat="false" customHeight="false" hidden="false" ht="23.85" outlineLevel="0" r="21">
      <c r="B21" s="836" t="str">
        <f aca="false">12_Indic_Gestion_Scios!B26</f>
        <v>Número total de pacientes referidos para atención de Consulta Médica Especializada</v>
      </c>
      <c r="C21" s="847" t="n">
        <f aca="false">12_Indic_Gestion_Scios!D26</f>
        <v>497</v>
      </c>
      <c r="D21" s="848" t="s">
        <v>796</v>
      </c>
    </row>
    <row collapsed="false" customFormat="false" customHeight="false" hidden="false" ht="23.85" outlineLevel="0" r="22">
      <c r="B22" s="836" t="str">
        <f aca="false">12_Indic_Gestion_Scios!B27</f>
        <v>Número total de pacientes referidos para la atención del Parto a niveles superiores</v>
      </c>
      <c r="C22" s="847" t="str">
        <f aca="false">12_Indic_Gestion_Scios!D27</f>
        <v>N/A</v>
      </c>
      <c r="D22" s="848" t="s">
        <v>350</v>
      </c>
    </row>
    <row collapsed="false" customFormat="false" customHeight="false" hidden="false" ht="12.8" outlineLevel="0" r="23">
      <c r="B23" s="836" t="str">
        <f aca="false">12_Indic_Gestion_Scios!B28</f>
        <v>Número total de pacientes referidos para Hospitalización No Quirúrgica</v>
      </c>
      <c r="C23" s="847" t="str">
        <f aca="false">12_Indic_Gestion_Scios!D28</f>
        <v>N/D</v>
      </c>
      <c r="D23" s="848" t="s">
        <v>350</v>
      </c>
    </row>
    <row collapsed="false" customFormat="false" customHeight="false" hidden="false" ht="23.85" outlineLevel="0" r="24">
      <c r="B24" s="836" t="str">
        <f aca="false">12_Indic_Gestion_Scios!B29</f>
        <v>Número total de pacientes referidos para la realización de procedimientos quirúrgicos</v>
      </c>
      <c r="C24" s="847" t="str">
        <f aca="false">12_Indic_Gestion_Scios!D29</f>
        <v>N/D</v>
      </c>
      <c r="D24" s="848" t="s">
        <v>350</v>
      </c>
    </row>
    <row collapsed="false" customFormat="false" customHeight="false" hidden="false" ht="14.9" outlineLevel="0" r="25">
      <c r="B25" s="833" t="str">
        <f aca="false">12_Indic_Gestion_Scios!B30</f>
        <v>Nivel de Abastecimiento de Medicamentos (%)</v>
      </c>
      <c r="C25" s="849" t="inlineStr">
        <f aca="false">12_Indic_Gestion_Scios!D30</f>
        <is>
          <t/>
        </is>
      </c>
      <c r="D25" s="840" t="n">
        <v>0.65</v>
      </c>
    </row>
    <row collapsed="false" customFormat="false" customHeight="false" hidden="false" ht="12.8" outlineLevel="0" r="26">
      <c r="B26" s="833" t="str">
        <f aca="false">12_Indic_Gestion_Scios!B31</f>
        <v>% Ejecución del Presupuesto de funcionamiento</v>
      </c>
      <c r="C26" s="834"/>
      <c r="D26" s="835"/>
    </row>
    <row collapsed="false" customFormat="false" customHeight="false" hidden="false" ht="12.8" outlineLevel="0" r="27">
      <c r="B27" s="850" t="str">
        <f aca="false">12_Indic_Gestion_Scios!B32</f>
        <v>Rubros principales</v>
      </c>
      <c r="C27" s="851"/>
      <c r="D27" s="852"/>
    </row>
    <row collapsed="false" customFormat="false" customHeight="false" hidden="false" ht="12.8" outlineLevel="0" r="28">
      <c r="B28" s="853" t="str">
        <f aca="false">12_Indic_Gestion_Scios!B33</f>
        <v>Remuneraciones</v>
      </c>
      <c r="C28" s="854" t="inlineStr">
        <f aca="false">12_Indic_Gestion_Scios!D33</f>
        <is>
          <t/>
        </is>
      </c>
      <c r="D28" s="855" t="n">
        <v>1</v>
      </c>
    </row>
    <row collapsed="false" customFormat="false" customHeight="false" hidden="false" ht="12.8" outlineLevel="0" r="29">
      <c r="B29" s="836" t="str">
        <f aca="false">12_Indic_Gestion_Scios!B34</f>
        <v>Medicamentos</v>
      </c>
      <c r="C29" s="856" t="inlineStr">
        <f aca="false">12_Indic_Gestion_Scios!D34</f>
        <is>
          <t/>
        </is>
      </c>
      <c r="D29" s="857" t="n">
        <v>1</v>
      </c>
    </row>
    <row collapsed="false" customFormat="false" customHeight="false" hidden="false" ht="12.8" outlineLevel="0" r="30">
      <c r="B30" s="836" t="str">
        <f aca="false">12_Indic_Gestion_Scios!B35</f>
        <v>Insumos Médico Quirúrgicos</v>
      </c>
      <c r="C30" s="856" t="inlineStr">
        <f aca="false">12_Indic_Gestion_Scios!D35</f>
        <is>
          <t/>
        </is>
      </c>
      <c r="D30" s="857" t="n">
        <v>1</v>
      </c>
    </row>
    <row collapsed="false" customFormat="false" customHeight="false" hidden="false" ht="12.8" outlineLevel="0" r="31">
      <c r="B31" s="836" t="str">
        <f aca="false">12_Indic_Gestion_Scios!B36</f>
        <v>Combustible y Lubricantes</v>
      </c>
      <c r="C31" s="856" t="inlineStr">
        <f aca="false">12_Indic_Gestion_Scios!D36</f>
        <is>
          <t/>
        </is>
      </c>
      <c r="D31" s="857" t="n">
        <v>1</v>
      </c>
    </row>
    <row collapsed="false" customFormat="false" customHeight="false" hidden="false" ht="12.8" outlineLevel="0" r="32">
      <c r="B32" s="836" t="str">
        <f aca="false">12_Indic_Gestion_Scios!B37</f>
        <v>Alimento para humanos</v>
      </c>
      <c r="C32" s="856" t="inlineStr">
        <f aca="false">12_Indic_Gestion_Scios!D37</f>
        <is>
          <t/>
        </is>
      </c>
      <c r="D32" s="857" t="n">
        <v>1</v>
      </c>
    </row>
    <row collapsed="false" customFormat="false" customHeight="false" hidden="false" ht="12.8" outlineLevel="0" r="33">
      <c r="B33" s="836" t="str">
        <f aca="false">12_Indic_Gestion_Scios!B38</f>
        <v>Servicios Básicos</v>
      </c>
      <c r="C33" s="856" t="inlineStr">
        <f aca="false">12_Indic_Gestion_Scios!D38</f>
        <is>
          <t/>
        </is>
      </c>
      <c r="D33" s="857" t="n">
        <v>1</v>
      </c>
    </row>
    <row collapsed="false" customFormat="false" customHeight="false" hidden="false" ht="12.8" outlineLevel="0" r="34">
      <c r="B34" s="836" t="str">
        <f aca="false">12_Indic_Gestion_Scios!B39</f>
        <v>Adquisición de equipo médico</v>
      </c>
      <c r="C34" s="856" t="inlineStr">
        <f aca="false">12_Indic_Gestion_Scios!D39</f>
        <is>
          <t/>
        </is>
      </c>
      <c r="D34" s="857" t="n">
        <v>1</v>
      </c>
    </row>
    <row collapsed="false" customFormat="false" customHeight="false" hidden="false" ht="12.8" outlineLevel="0" r="35">
      <c r="B35" s="836" t="str">
        <f aca="false">12_Indic_Gestion_Scios!B40</f>
        <v>Adquisición de equipo no médico</v>
      </c>
      <c r="C35" s="856" t="inlineStr">
        <f aca="false">12_Indic_Gestion_Scios!D40</f>
        <is>
          <t/>
        </is>
      </c>
      <c r="D35" s="857" t="n">
        <v>1</v>
      </c>
    </row>
    <row collapsed="false" customFormat="false" customHeight="false" hidden="false" ht="12.8" outlineLevel="0" r="36">
      <c r="B36" s="836" t="str">
        <f aca="false">12_Indic_Gestion_Scios!B41</f>
        <v>Mantenimiento en general</v>
      </c>
      <c r="C36" s="856" t="inlineStr">
        <f aca="false">12_Indic_Gestion_Scios!D41</f>
        <is>
          <t/>
        </is>
      </c>
      <c r="D36" s="857" t="n">
        <v>1</v>
      </c>
    </row>
    <row collapsed="false" customFormat="false" customHeight="false" hidden="false" ht="12.8" outlineLevel="0" r="37">
      <c r="B37" s="836" t="str">
        <f aca="false">12_Indic_Gestion_Scios!B42</f>
        <v>Otros</v>
      </c>
      <c r="C37" s="856" t="inlineStr">
        <f aca="false">12_Indic_Gestion_Scios!D42</f>
        <is>
          <t/>
        </is>
      </c>
      <c r="D37" s="857" t="n">
        <v>1</v>
      </c>
    </row>
    <row collapsed="false" customFormat="false" customHeight="false" hidden="false" ht="12.8" outlineLevel="0" r="38">
      <c r="B38" s="858" t="str">
        <f aca="false">12_Indic_Gestion_Scios!B43</f>
        <v>Total</v>
      </c>
      <c r="C38" s="859" t="inlineStr">
        <f aca="false">12_Indic_Gestion_Scios!D43</f>
        <is>
          <t/>
        </is>
      </c>
      <c r="D38" s="860" t="n">
        <v>1</v>
      </c>
    </row>
  </sheetData>
  <mergeCells count="1">
    <mergeCell ref="B1:D1"/>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25.xml><?xml version="1.0" encoding="utf-8"?>
<worksheet xmlns="http://schemas.openxmlformats.org/spreadsheetml/2006/main" xmlns:r="http://schemas.openxmlformats.org/officeDocument/2006/relationships">
  <sheetPr filterMode="false">
    <pageSetUpPr fitToPage="false"/>
  </sheetPr>
  <dimension ref="A1:BF102"/>
  <sheetViews>
    <sheetView colorId="64" defaultGridColor="true" rightToLeft="false" showFormulas="false" showGridLines="true" showOutlineSymbols="true" showRowColHeaders="true" showZeros="true" tabSelected="false" topLeftCell="A1" view="normal" windowProtection="true" workbookViewId="0" zoomScale="100" zoomScaleNormal="100" zoomScalePageLayoutView="100">
      <pane activePane="bottomRight" topLeftCell="C8" xSplit="2" ySplit="7"/>
      <selection activeCell="A1" activeCellId="0" pane="topLeft" sqref="A1"/>
      <selection activeCell="C1" activeCellId="0" pane="topRight" sqref="C1"/>
      <selection activeCell="A8" activeCellId="0" pane="bottomLeft" sqref="A8"/>
      <selection activeCell="C18" activeCellId="0" pane="bottomRight" sqref="C18"/>
    </sheetView>
  </sheetViews>
  <cols>
    <col collapsed="false" hidden="false" max="1" min="1" style="861" width="1.86274509803922"/>
    <col collapsed="false" hidden="false" max="2" min="2" style="861" width="34.5725490196078"/>
    <col collapsed="false" hidden="false" max="3" min="3" style="861" width="17.2117647058824"/>
    <col collapsed="false" hidden="false" max="4" min="4" style="861" width="14.0549019607843"/>
    <col collapsed="false" hidden="false" max="14" min="5" style="861" width="9.75294117647059"/>
    <col collapsed="false" hidden="false" max="15" min="15" style="861" width="11.4745098039216"/>
    <col collapsed="false" hidden="false" max="52" min="16" style="861" width="9.75294117647059"/>
    <col collapsed="false" hidden="false" max="53" min="53" style="861" width="10.756862745098"/>
    <col collapsed="false" hidden="false" max="54" min="54" style="861" width="10.4705882352941"/>
    <col collapsed="false" hidden="false" max="55" min="55" style="861" width="9.75294117647059"/>
    <col collapsed="false" hidden="false" max="257" min="56" style="861" width="11.4745098039216"/>
  </cols>
  <sheetData>
    <row collapsed="false" customFormat="false" customHeight="false" hidden="false" ht="24.8" outlineLevel="0" r="1">
      <c r="A1" s="862"/>
      <c r="B1" s="863" t="s">
        <v>6</v>
      </c>
      <c r="C1" s="863"/>
      <c r="D1" s="863"/>
      <c r="E1" s="863"/>
      <c r="F1" s="863"/>
      <c r="G1" s="863"/>
      <c r="H1" s="863"/>
      <c r="I1" s="863"/>
      <c r="J1" s="863"/>
      <c r="K1" s="863"/>
      <c r="L1" s="863"/>
      <c r="M1" s="863"/>
      <c r="N1" s="863"/>
      <c r="O1" s="863"/>
      <c r="P1" s="863"/>
      <c r="Q1" s="863"/>
      <c r="R1" s="863"/>
      <c r="S1" s="863"/>
      <c r="T1" s="863"/>
    </row>
    <row collapsed="false" customFormat="false" customHeight="false" hidden="false" ht="24.8" outlineLevel="0" r="2">
      <c r="B2" s="863" t="s">
        <v>797</v>
      </c>
      <c r="C2" s="863"/>
      <c r="D2" s="863"/>
      <c r="E2" s="863"/>
      <c r="F2" s="863"/>
      <c r="G2" s="863"/>
      <c r="H2" s="863"/>
      <c r="I2" s="863"/>
      <c r="J2" s="863"/>
      <c r="K2" s="863"/>
      <c r="L2" s="863"/>
      <c r="M2" s="863"/>
      <c r="N2" s="863"/>
      <c r="O2" s="863"/>
      <c r="P2" s="863"/>
      <c r="Q2" s="863"/>
      <c r="R2" s="863"/>
      <c r="S2" s="863"/>
      <c r="T2" s="863"/>
    </row>
    <row collapsed="false" customFormat="false" customHeight="false" hidden="false" ht="15.2" outlineLevel="0" r="3">
      <c r="A3" s="864"/>
      <c r="B3" s="864"/>
      <c r="C3" s="864"/>
      <c r="D3" s="864"/>
      <c r="E3" s="864"/>
      <c r="F3" s="864"/>
      <c r="G3" s="864"/>
      <c r="H3" s="864"/>
      <c r="I3" s="864"/>
      <c r="J3" s="864"/>
      <c r="K3" s="864"/>
      <c r="L3" s="864"/>
      <c r="M3" s="864"/>
      <c r="N3" s="864"/>
      <c r="O3" s="864"/>
      <c r="P3" s="864"/>
      <c r="Q3" s="865"/>
      <c r="R3" s="865"/>
      <c r="S3" s="865"/>
    </row>
    <row collapsed="false" customFormat="false" customHeight="false" hidden="false" ht="12.8" outlineLevel="0" r="4">
      <c r="A4" s="866"/>
      <c r="B4" s="866"/>
      <c r="C4" s="866"/>
      <c r="D4" s="866"/>
      <c r="E4" s="866"/>
      <c r="F4" s="866"/>
      <c r="G4" s="866"/>
      <c r="H4" s="866"/>
      <c r="I4" s="866"/>
      <c r="J4" s="866"/>
      <c r="K4" s="866"/>
      <c r="L4" s="866"/>
      <c r="M4" s="866"/>
      <c r="N4" s="866"/>
      <c r="O4" s="866"/>
      <c r="P4" s="866"/>
      <c r="Q4" s="866"/>
      <c r="R4" s="866"/>
      <c r="S4" s="866"/>
    </row>
    <row collapsed="false" customFormat="false" customHeight="true" hidden="false" ht="15" outlineLevel="0" r="5">
      <c r="A5" s="867"/>
      <c r="B5" s="868" t="s">
        <v>798</v>
      </c>
      <c r="C5" s="869" t="s">
        <v>440</v>
      </c>
      <c r="D5" s="870" t="s">
        <v>799</v>
      </c>
      <c r="E5" s="871" t="s">
        <v>800</v>
      </c>
      <c r="F5" s="871"/>
      <c r="G5" s="871"/>
      <c r="H5" s="871"/>
      <c r="I5" s="871"/>
      <c r="J5" s="871"/>
      <c r="K5" s="871"/>
      <c r="L5" s="871"/>
      <c r="M5" s="871"/>
      <c r="N5" s="871"/>
      <c r="O5" s="871"/>
      <c r="P5" s="871"/>
      <c r="Q5" s="871"/>
      <c r="R5" s="871"/>
      <c r="S5" s="871"/>
      <c r="T5" s="871"/>
      <c r="U5" s="871"/>
      <c r="V5" s="871"/>
      <c r="W5" s="871"/>
      <c r="X5" s="871"/>
      <c r="Y5" s="871"/>
      <c r="Z5" s="871"/>
      <c r="AA5" s="871"/>
      <c r="AB5" s="871"/>
      <c r="AC5" s="871"/>
      <c r="AD5" s="871"/>
      <c r="AE5" s="871"/>
      <c r="AF5" s="871"/>
      <c r="AG5" s="871"/>
      <c r="AH5" s="871"/>
      <c r="AI5" s="871"/>
      <c r="AJ5" s="871"/>
      <c r="AK5" s="871"/>
      <c r="AL5" s="871"/>
      <c r="AM5" s="871"/>
      <c r="AN5" s="871"/>
      <c r="AO5" s="871"/>
      <c r="AP5" s="871"/>
      <c r="AQ5" s="871"/>
      <c r="AR5" s="871"/>
      <c r="AS5" s="871"/>
      <c r="AT5" s="871"/>
      <c r="AU5" s="871"/>
      <c r="AV5" s="871"/>
      <c r="AW5" s="871"/>
      <c r="AX5" s="871"/>
      <c r="AY5" s="871"/>
      <c r="AZ5" s="871"/>
      <c r="BA5" s="871"/>
      <c r="BB5" s="871"/>
      <c r="BC5" s="871"/>
    </row>
    <row collapsed="false" customFormat="false" customHeight="true" hidden="false" ht="12.75" outlineLevel="0" r="6">
      <c r="A6" s="867"/>
      <c r="B6" s="868"/>
      <c r="C6" s="869"/>
      <c r="D6" s="870"/>
      <c r="E6" s="872" t="s">
        <v>801</v>
      </c>
      <c r="F6" s="872"/>
      <c r="G6" s="872"/>
      <c r="H6" s="873" t="s">
        <v>802</v>
      </c>
      <c r="I6" s="873"/>
      <c r="J6" s="873"/>
      <c r="K6" s="874" t="s">
        <v>803</v>
      </c>
      <c r="L6" s="874"/>
      <c r="M6" s="874"/>
      <c r="N6" s="875" t="s">
        <v>804</v>
      </c>
      <c r="O6" s="875"/>
      <c r="P6" s="875"/>
      <c r="Q6" s="876" t="s">
        <v>805</v>
      </c>
      <c r="R6" s="876"/>
      <c r="S6" s="876"/>
      <c r="T6" s="873" t="s">
        <v>806</v>
      </c>
      <c r="U6" s="873"/>
      <c r="V6" s="873"/>
      <c r="W6" s="874" t="s">
        <v>807</v>
      </c>
      <c r="X6" s="874"/>
      <c r="Y6" s="874"/>
      <c r="Z6" s="875" t="s">
        <v>808</v>
      </c>
      <c r="AA6" s="875"/>
      <c r="AB6" s="875"/>
      <c r="AC6" s="876" t="s">
        <v>809</v>
      </c>
      <c r="AD6" s="876"/>
      <c r="AE6" s="876"/>
      <c r="AF6" s="873" t="s">
        <v>810</v>
      </c>
      <c r="AG6" s="873"/>
      <c r="AH6" s="873"/>
      <c r="AI6" s="874" t="s">
        <v>811</v>
      </c>
      <c r="AJ6" s="874"/>
      <c r="AK6" s="874"/>
      <c r="AL6" s="875" t="s">
        <v>812</v>
      </c>
      <c r="AM6" s="875"/>
      <c r="AN6" s="875"/>
      <c r="AO6" s="876" t="s">
        <v>813</v>
      </c>
      <c r="AP6" s="876"/>
      <c r="AQ6" s="876"/>
      <c r="AR6" s="873" t="s">
        <v>814</v>
      </c>
      <c r="AS6" s="873"/>
      <c r="AT6" s="873"/>
      <c r="AU6" s="874" t="s">
        <v>815</v>
      </c>
      <c r="AV6" s="874"/>
      <c r="AW6" s="874"/>
      <c r="AX6" s="875" t="s">
        <v>816</v>
      </c>
      <c r="AY6" s="875"/>
      <c r="AZ6" s="875"/>
      <c r="BA6" s="877" t="s">
        <v>817</v>
      </c>
      <c r="BB6" s="877"/>
      <c r="BC6" s="877"/>
    </row>
    <row collapsed="false" customFormat="false" customHeight="false" hidden="false" ht="12.8" outlineLevel="0" r="7">
      <c r="A7" s="867"/>
      <c r="B7" s="868"/>
      <c r="C7" s="869"/>
      <c r="D7" s="870"/>
      <c r="E7" s="878" t="s">
        <v>818</v>
      </c>
      <c r="F7" s="879" t="s">
        <v>819</v>
      </c>
      <c r="G7" s="879" t="s">
        <v>820</v>
      </c>
      <c r="H7" s="879" t="s">
        <v>818</v>
      </c>
      <c r="I7" s="879" t="s">
        <v>819</v>
      </c>
      <c r="J7" s="879" t="s">
        <v>820</v>
      </c>
      <c r="K7" s="879" t="s">
        <v>818</v>
      </c>
      <c r="L7" s="879" t="s">
        <v>819</v>
      </c>
      <c r="M7" s="880" t="s">
        <v>820</v>
      </c>
      <c r="N7" s="881" t="s">
        <v>818</v>
      </c>
      <c r="O7" s="879" t="s">
        <v>819</v>
      </c>
      <c r="P7" s="882" t="s">
        <v>820</v>
      </c>
      <c r="Q7" s="883" t="s">
        <v>818</v>
      </c>
      <c r="R7" s="879" t="s">
        <v>819</v>
      </c>
      <c r="S7" s="879" t="s">
        <v>820</v>
      </c>
      <c r="T7" s="879" t="s">
        <v>818</v>
      </c>
      <c r="U7" s="879" t="s">
        <v>819</v>
      </c>
      <c r="V7" s="879" t="s">
        <v>820</v>
      </c>
      <c r="W7" s="879" t="s">
        <v>818</v>
      </c>
      <c r="X7" s="879" t="s">
        <v>819</v>
      </c>
      <c r="Y7" s="880" t="s">
        <v>820</v>
      </c>
      <c r="Z7" s="881" t="s">
        <v>818</v>
      </c>
      <c r="AA7" s="879" t="s">
        <v>819</v>
      </c>
      <c r="AB7" s="882" t="s">
        <v>820</v>
      </c>
      <c r="AC7" s="883" t="s">
        <v>818</v>
      </c>
      <c r="AD7" s="879" t="s">
        <v>819</v>
      </c>
      <c r="AE7" s="879" t="s">
        <v>820</v>
      </c>
      <c r="AF7" s="879" t="s">
        <v>818</v>
      </c>
      <c r="AG7" s="879" t="s">
        <v>819</v>
      </c>
      <c r="AH7" s="879" t="s">
        <v>820</v>
      </c>
      <c r="AI7" s="879" t="s">
        <v>818</v>
      </c>
      <c r="AJ7" s="879" t="s">
        <v>819</v>
      </c>
      <c r="AK7" s="880" t="s">
        <v>820</v>
      </c>
      <c r="AL7" s="881" t="s">
        <v>818</v>
      </c>
      <c r="AM7" s="879" t="s">
        <v>819</v>
      </c>
      <c r="AN7" s="882" t="s">
        <v>820</v>
      </c>
      <c r="AO7" s="883" t="s">
        <v>818</v>
      </c>
      <c r="AP7" s="879" t="s">
        <v>819</v>
      </c>
      <c r="AQ7" s="879" t="s">
        <v>820</v>
      </c>
      <c r="AR7" s="879" t="s">
        <v>818</v>
      </c>
      <c r="AS7" s="879" t="s">
        <v>819</v>
      </c>
      <c r="AT7" s="879" t="s">
        <v>820</v>
      </c>
      <c r="AU7" s="879" t="s">
        <v>818</v>
      </c>
      <c r="AV7" s="879" t="s">
        <v>819</v>
      </c>
      <c r="AW7" s="880" t="s">
        <v>820</v>
      </c>
      <c r="AX7" s="881" t="s">
        <v>818</v>
      </c>
      <c r="AY7" s="879" t="s">
        <v>819</v>
      </c>
      <c r="AZ7" s="882" t="s">
        <v>820</v>
      </c>
      <c r="BA7" s="883" t="s">
        <v>818</v>
      </c>
      <c r="BB7" s="879" t="s">
        <v>819</v>
      </c>
      <c r="BC7" s="884" t="s">
        <v>820</v>
      </c>
    </row>
    <row collapsed="false" customFormat="false" customHeight="false" hidden="false" ht="14" outlineLevel="0" r="8">
      <c r="A8" s="885"/>
      <c r="B8" s="886" t="str">
        <f aca="false">17_Prog_Produc_2011!B4</f>
        <v>Servicios Ambulatorios</v>
      </c>
      <c r="C8" s="887"/>
      <c r="D8" s="888"/>
      <c r="E8" s="889"/>
      <c r="F8" s="890"/>
      <c r="G8" s="891"/>
      <c r="H8" s="892"/>
      <c r="I8" s="892"/>
      <c r="J8" s="891"/>
      <c r="K8" s="892"/>
      <c r="L8" s="892"/>
      <c r="M8" s="893"/>
      <c r="N8" s="894"/>
      <c r="O8" s="890"/>
      <c r="P8" s="895"/>
      <c r="Q8" s="889"/>
      <c r="R8" s="892"/>
      <c r="S8" s="896"/>
      <c r="T8" s="892"/>
      <c r="U8" s="890"/>
      <c r="V8" s="896"/>
      <c r="W8" s="892"/>
      <c r="X8" s="892"/>
      <c r="Y8" s="897"/>
      <c r="Z8" s="894"/>
      <c r="AA8" s="890"/>
      <c r="AB8" s="895"/>
      <c r="AC8" s="889"/>
      <c r="AD8" s="892"/>
      <c r="AE8" s="896"/>
      <c r="AF8" s="892"/>
      <c r="AG8" s="898"/>
      <c r="AH8" s="896"/>
      <c r="AI8" s="892"/>
      <c r="AJ8" s="890"/>
      <c r="AK8" s="897"/>
      <c r="AL8" s="894"/>
      <c r="AM8" s="890"/>
      <c r="AN8" s="895"/>
      <c r="AO8" s="889"/>
      <c r="AP8" s="892"/>
      <c r="AQ8" s="896"/>
      <c r="AR8" s="892"/>
      <c r="AS8" s="892"/>
      <c r="AT8" s="896"/>
      <c r="AU8" s="892"/>
      <c r="AV8" s="898"/>
      <c r="AW8" s="897"/>
      <c r="AX8" s="894"/>
      <c r="AY8" s="890"/>
      <c r="AZ8" s="895"/>
      <c r="BA8" s="889"/>
      <c r="BB8" s="892"/>
      <c r="BC8" s="899"/>
    </row>
    <row collapsed="false" customFormat="false" customHeight="false" hidden="false" ht="12.8" outlineLevel="0" r="9">
      <c r="A9" s="885"/>
      <c r="B9" s="900" t="str">
        <f aca="false">17_Prog_Produc_2011!B6</f>
        <v>Consulta General </v>
      </c>
      <c r="C9" s="901" t="s">
        <v>821</v>
      </c>
      <c r="D9" s="902" t="n">
        <f aca="false">17_Prog_Produc_2011!G6</f>
        <v>0</v>
      </c>
      <c r="E9" s="903" t="n">
        <f aca="false">IF(ISERROR($D9/12),"",$D9/12)</f>
        <v>0</v>
      </c>
      <c r="F9" s="904" t="n">
        <v>0</v>
      </c>
      <c r="G9" s="905" t="str">
        <f aca="false">IF(ISERROR(F9/E9),"",F9/E9)</f>
        <v/>
      </c>
      <c r="H9" s="906" t="n">
        <f aca="false">IF(ISERROR($D9/12),"",$D9/12)</f>
        <v>0</v>
      </c>
      <c r="I9" s="907"/>
      <c r="J9" s="905" t="str">
        <f aca="false">IF(ISERROR(I9/H9),"",I9/H9)</f>
        <v/>
      </c>
      <c r="K9" s="906" t="n">
        <f aca="false">IF(ISERROR($D9/12),"",$D9/12)</f>
        <v>0</v>
      </c>
      <c r="L9" s="907"/>
      <c r="M9" s="908" t="str">
        <f aca="false">IF(ISERROR(L9/K9),"",L9/K9)</f>
        <v/>
      </c>
      <c r="N9" s="909" t="n">
        <f aca="false">SUM(E9,H9,K9)</f>
        <v>0</v>
      </c>
      <c r="O9" s="910" t="n">
        <f aca="false">SUM(F9,I9,L9)</f>
        <v>0</v>
      </c>
      <c r="P9" s="911" t="str">
        <f aca="false">IF(ISERROR(O9/N9),"",O9/N9)</f>
        <v/>
      </c>
      <c r="Q9" s="903" t="n">
        <f aca="false">IF(ISERROR($D9/12),"",$D9/12)</f>
        <v>0</v>
      </c>
      <c r="R9" s="907" t="n">
        <v>0</v>
      </c>
      <c r="S9" s="912" t="str">
        <f aca="false">IF(ISERROR(R9/Q9),"",R9/Q9)</f>
        <v/>
      </c>
      <c r="T9" s="906" t="n">
        <f aca="false">IF(ISERROR($D9/12),"",$D9/12)</f>
        <v>0</v>
      </c>
      <c r="U9" s="904"/>
      <c r="V9" s="912" t="str">
        <f aca="false">IF(ISERROR(U9/T9),"",U9/T9)</f>
        <v/>
      </c>
      <c r="W9" s="906" t="n">
        <f aca="false">IF(ISERROR($D9/12),"",$D9/12)</f>
        <v>0</v>
      </c>
      <c r="X9" s="907"/>
      <c r="Y9" s="913" t="str">
        <f aca="false">IF(ISERROR(X9/W9),"",X9/W9)</f>
        <v/>
      </c>
      <c r="Z9" s="909" t="n">
        <f aca="false">SUM(Q9,T9,W9)</f>
        <v>0</v>
      </c>
      <c r="AA9" s="910" t="n">
        <f aca="false">SUM(R9,U9,X9)</f>
        <v>0</v>
      </c>
      <c r="AB9" s="911" t="str">
        <f aca="false">IF(ISERROR(AA9/Z9),"",AA9/Z9)</f>
        <v/>
      </c>
      <c r="AC9" s="903" t="n">
        <f aca="false">IF(ISERROR($D9/12),"",$D9/12)</f>
        <v>0</v>
      </c>
      <c r="AD9" s="907"/>
      <c r="AE9" s="912" t="str">
        <f aca="false">IF(ISERROR(AD9/AC9),"",AD9/AC9)</f>
        <v/>
      </c>
      <c r="AF9" s="906" t="n">
        <f aca="false">IF(ISERROR($D9/12),"",$D9/12)</f>
        <v>0</v>
      </c>
      <c r="AG9" s="914"/>
      <c r="AH9" s="912" t="str">
        <f aca="false">IF(ISERROR(AG9/AF9),"",AG9/AF9)</f>
        <v/>
      </c>
      <c r="AI9" s="906" t="n">
        <f aca="false">IF(ISERROR($D9/12),"",$D9/12)</f>
        <v>0</v>
      </c>
      <c r="AJ9" s="904"/>
      <c r="AK9" s="913" t="str">
        <f aca="false">IF(ISERROR(AJ9/AI9),"",AJ9/AI9)</f>
        <v/>
      </c>
      <c r="AL9" s="915" t="n">
        <f aca="false">SUM(AC9,AF9,AI9)</f>
        <v>0</v>
      </c>
      <c r="AM9" s="910" t="n">
        <f aca="false">SUM(AD9,AG9,AJ9)</f>
        <v>0</v>
      </c>
      <c r="AN9" s="911" t="str">
        <f aca="false">IF(ISERROR(AM9/AL9),"",AM9/AL9)</f>
        <v/>
      </c>
      <c r="AO9" s="903" t="n">
        <f aca="false">IF(ISERROR($D9/12),"",$D9/12)</f>
        <v>0</v>
      </c>
      <c r="AP9" s="907"/>
      <c r="AQ9" s="912" t="str">
        <f aca="false">IF(ISERROR(AP9/AO9),"",AP9/AO9)</f>
        <v/>
      </c>
      <c r="AR9" s="906" t="n">
        <f aca="false">IF(ISERROR($D9/12),"",$D9/12)</f>
        <v>0</v>
      </c>
      <c r="AS9" s="907"/>
      <c r="AT9" s="912" t="str">
        <f aca="false">IF(ISERROR(AS9/AR9),"",AS9/AR9)</f>
        <v/>
      </c>
      <c r="AU9" s="906" t="n">
        <f aca="false">IF(ISERROR($D9/12),"",$D9/12)</f>
        <v>0</v>
      </c>
      <c r="AV9" s="914"/>
      <c r="AW9" s="913" t="str">
        <f aca="false">IF(ISERROR(AV9/AU9),"",AV9/AU9)</f>
        <v/>
      </c>
      <c r="AX9" s="909" t="n">
        <f aca="false">SUM(AO9,AR9,AU9)</f>
        <v>0</v>
      </c>
      <c r="AY9" s="910" t="n">
        <f aca="false">SUM(AP9,AS9,AV9)</f>
        <v>0</v>
      </c>
      <c r="AZ9" s="911" t="str">
        <f aca="false">IF(ISERROR(AY9/AX9),"",AY9/AX9)</f>
        <v/>
      </c>
      <c r="BA9" s="916" t="n">
        <f aca="false">D9</f>
        <v>0</v>
      </c>
      <c r="BB9" s="917" t="n">
        <f aca="false">SUM(F9,I9,L9,R9,U9,X9,AD9,AG9,AJ9,AP9,AS9,AV9)</f>
        <v>0</v>
      </c>
      <c r="BC9" s="918" t="str">
        <f aca="false">IF(ISERROR(BB9/BA9),"",BB9/BA9)</f>
        <v/>
      </c>
      <c r="BD9" s="919"/>
      <c r="BE9" s="919"/>
      <c r="BF9" s="919"/>
    </row>
    <row collapsed="false" customFormat="false" customHeight="false" hidden="false" ht="12.8" outlineLevel="0" r="10">
      <c r="A10" s="885"/>
      <c r="B10" s="900" t="str">
        <f aca="false">17_Prog_Produc_2011!B8</f>
        <v>Consultas de Especializadades Básicas</v>
      </c>
      <c r="C10" s="901" t="s">
        <v>821</v>
      </c>
      <c r="D10" s="902" t="n">
        <f aca="false">17_Prog_Produc_2011!G8</f>
        <v>0</v>
      </c>
      <c r="E10" s="903" t="n">
        <f aca="false">IF(ISERROR($D10/12),"",$D10/12)</f>
        <v>0</v>
      </c>
      <c r="F10" s="907" t="n">
        <v>0</v>
      </c>
      <c r="G10" s="905" t="str">
        <f aca="false">IF(ISERROR(F10/E10),"",F10/E10)</f>
        <v/>
      </c>
      <c r="H10" s="906" t="n">
        <f aca="false">IF(ISERROR($D10/12),"",$D10/12)</f>
        <v>0</v>
      </c>
      <c r="I10" s="907"/>
      <c r="J10" s="905" t="str">
        <f aca="false">IF(ISERROR(I10/H10),"",I10/H10)</f>
        <v/>
      </c>
      <c r="K10" s="906" t="n">
        <f aca="false">IF(ISERROR($D10/12),"",$D10/12)</f>
        <v>0</v>
      </c>
      <c r="L10" s="907"/>
      <c r="M10" s="908" t="str">
        <f aca="false">IF(ISERROR(L10/K10),"",L10/K10)</f>
        <v/>
      </c>
      <c r="N10" s="909" t="n">
        <f aca="false">SUM(E10,H10,K10)</f>
        <v>0</v>
      </c>
      <c r="O10" s="920" t="n">
        <f aca="false">SUM(F10,I10,L10)</f>
        <v>0</v>
      </c>
      <c r="P10" s="911" t="str">
        <f aca="false">IF(ISERROR(O10/N10),"",O10/N10)</f>
        <v/>
      </c>
      <c r="Q10" s="903" t="n">
        <f aca="false">IF(ISERROR($D10/12),"",$D10/12)</f>
        <v>0</v>
      </c>
      <c r="R10" s="907" t="n">
        <v>0</v>
      </c>
      <c r="S10" s="912" t="str">
        <f aca="false">IF(ISERROR(R10/Q10),"",R10/Q10)</f>
        <v/>
      </c>
      <c r="T10" s="906" t="n">
        <f aca="false">IF(ISERROR($D10/12),"",$D10/12)</f>
        <v>0</v>
      </c>
      <c r="U10" s="907"/>
      <c r="V10" s="912" t="str">
        <f aca="false">IF(ISERROR(U10/T10),"",U10/T10)</f>
        <v/>
      </c>
      <c r="W10" s="906" t="n">
        <f aca="false">IF(ISERROR($D10/12),"",$D10/12)</f>
        <v>0</v>
      </c>
      <c r="X10" s="907"/>
      <c r="Y10" s="913" t="str">
        <f aca="false">IF(ISERROR(X10/W10),"",X10/W10)</f>
        <v/>
      </c>
      <c r="Z10" s="909" t="n">
        <f aca="false">SUM(Q10,T10,W10)</f>
        <v>0</v>
      </c>
      <c r="AA10" s="920" t="n">
        <f aca="false">SUM(R10,U10,X10)</f>
        <v>0</v>
      </c>
      <c r="AB10" s="911" t="str">
        <f aca="false">IF(ISERROR(AA10/Z10),"",AA10/Z10)</f>
        <v/>
      </c>
      <c r="AC10" s="903" t="n">
        <f aca="false">IF(ISERROR($D10/12),"",$D10/12)</f>
        <v>0</v>
      </c>
      <c r="AD10" s="907"/>
      <c r="AE10" s="912" t="str">
        <f aca="false">IF(ISERROR(AD10/AC10),"",AD10/AC10)</f>
        <v/>
      </c>
      <c r="AF10" s="906" t="n">
        <f aca="false">IF(ISERROR($D10/12),"",$D10/12)</f>
        <v>0</v>
      </c>
      <c r="AG10" s="914"/>
      <c r="AH10" s="912" t="str">
        <f aca="false">IF(ISERROR(AG10/AF10),"",AG10/AF10)</f>
        <v/>
      </c>
      <c r="AI10" s="906" t="n">
        <f aca="false">IF(ISERROR($D10/12),"",$D10/12)</f>
        <v>0</v>
      </c>
      <c r="AJ10" s="907"/>
      <c r="AK10" s="913" t="str">
        <f aca="false">IF(ISERROR(AJ10/AI10),"",AJ10/AI10)</f>
        <v/>
      </c>
      <c r="AL10" s="915" t="n">
        <f aca="false">SUM(AC10,AF10,AI10)</f>
        <v>0</v>
      </c>
      <c r="AM10" s="920" t="n">
        <f aca="false">SUM(AD10,AG10,AJ10)</f>
        <v>0</v>
      </c>
      <c r="AN10" s="911" t="str">
        <f aca="false">IF(ISERROR(AM10/AL10),"",AM10/AL10)</f>
        <v/>
      </c>
      <c r="AO10" s="903" t="n">
        <f aca="false">IF(ISERROR($D10/12),"",$D10/12)</f>
        <v>0</v>
      </c>
      <c r="AP10" s="907"/>
      <c r="AQ10" s="912" t="str">
        <f aca="false">IF(ISERROR(AP10/AO10),"",AP10/AO10)</f>
        <v/>
      </c>
      <c r="AR10" s="906" t="n">
        <f aca="false">IF(ISERROR($D10/12),"",$D10/12)</f>
        <v>0</v>
      </c>
      <c r="AS10" s="907"/>
      <c r="AT10" s="912" t="str">
        <f aca="false">IF(ISERROR(AS10/AR10),"",AS10/AR10)</f>
        <v/>
      </c>
      <c r="AU10" s="906" t="n">
        <f aca="false">IF(ISERROR($D10/12),"",$D10/12)</f>
        <v>0</v>
      </c>
      <c r="AV10" s="914"/>
      <c r="AW10" s="913" t="str">
        <f aca="false">IF(ISERROR(AV10/AU10),"",AV10/AU10)</f>
        <v/>
      </c>
      <c r="AX10" s="909" t="n">
        <f aca="false">SUM(AO10,AR10,AU10)</f>
        <v>0</v>
      </c>
      <c r="AY10" s="920" t="n">
        <f aca="false">SUM(AP10,AS10,AV10)</f>
        <v>0</v>
      </c>
      <c r="AZ10" s="911" t="str">
        <f aca="false">IF(ISERROR(AY10/AX10),"",AY10/AX10)</f>
        <v/>
      </c>
      <c r="BA10" s="916" t="n">
        <f aca="false">D10</f>
        <v>0</v>
      </c>
      <c r="BB10" s="917" t="n">
        <f aca="false">SUM(F10,I10,L10,R10,U10,X10,AD10,AG10,AJ10,AP10,AS10,AV10)</f>
        <v>0</v>
      </c>
      <c r="BC10" s="918" t="str">
        <f aca="false">IF(ISERROR(BB10/BA10),"",BB10/BA10)</f>
        <v/>
      </c>
      <c r="BD10" s="919"/>
      <c r="BE10" s="919"/>
      <c r="BF10" s="919"/>
    </row>
    <row collapsed="false" customFormat="false" customHeight="false" hidden="false" ht="12.8" outlineLevel="0" r="11">
      <c r="A11" s="885"/>
      <c r="B11" s="900" t="str">
        <f aca="false">17_Prog_Produc_2011!B11</f>
        <v>Consultas de Sub Especializadades</v>
      </c>
      <c r="C11" s="901" t="s">
        <v>821</v>
      </c>
      <c r="D11" s="921" t="n">
        <f aca="false">17_Prog_Produc_2011!G11</f>
        <v>167333</v>
      </c>
      <c r="E11" s="903" t="n">
        <f aca="false">IF(ISERROR($D11/12),"",$D11/12)</f>
        <v>13944.4166666667</v>
      </c>
      <c r="F11" s="907" t="n">
        <f aca="false">14653+1972+145+650+499</f>
        <v>17919</v>
      </c>
      <c r="G11" s="905" t="n">
        <f aca="false">IF(ISERROR(F11/E11),"",F11/E11)</f>
        <v>1.28503044826783</v>
      </c>
      <c r="H11" s="906" t="n">
        <f aca="false">IF(ISERROR($D11/12),"",$D11/12)</f>
        <v>13944.4166666667</v>
      </c>
      <c r="I11" s="907" t="n">
        <f aca="false">14102+1960+136+657+550</f>
        <v>17405</v>
      </c>
      <c r="J11" s="905" t="n">
        <f aca="false">IF(ISERROR(I11/H11),"",I11/H11)</f>
        <v>1.24816981707135</v>
      </c>
      <c r="K11" s="906" t="n">
        <f aca="false">IF(ISERROR($D11/12),"",$D11/12)</f>
        <v>13944.4166666667</v>
      </c>
      <c r="L11" s="907" t="n">
        <f aca="false">13911+1723+111+609+551</f>
        <v>16905</v>
      </c>
      <c r="M11" s="908" t="n">
        <f aca="false">IF(ISERROR(L11/K11),"",L11/K11)</f>
        <v>1.21231317193859</v>
      </c>
      <c r="N11" s="909" t="n">
        <f aca="false">SUM(E11,H11,K11)</f>
        <v>41833.25</v>
      </c>
      <c r="O11" s="920" t="n">
        <f aca="false">SUM(F11,I11,L11)</f>
        <v>52229</v>
      </c>
      <c r="P11" s="911" t="n">
        <f aca="false">IF(ISERROR(O11/N11),"",O11/N11)</f>
        <v>1.24850447909259</v>
      </c>
      <c r="Q11" s="903" t="n">
        <f aca="false">IF(ISERROR($D11/12),"",$D11/12)</f>
        <v>13944.4166666667</v>
      </c>
      <c r="R11" s="907" t="n">
        <f aca="false">10479+2320+110+356+489</f>
        <v>13754</v>
      </c>
      <c r="S11" s="912" t="n">
        <f aca="false">IF(ISERROR(R11/Q11),"",R11/Q11)</f>
        <v>0.986344594311941</v>
      </c>
      <c r="T11" s="906" t="n">
        <f aca="false">IF(ISERROR($D11/12),"",$D11/12)</f>
        <v>13944.4166666667</v>
      </c>
      <c r="U11" s="907" t="n">
        <f aca="false">12920+160+842+615</f>
        <v>14537</v>
      </c>
      <c r="V11" s="912" t="n">
        <f aca="false">IF(ISERROR(U11/T11),"",U11/T11)</f>
        <v>1.04249610058984</v>
      </c>
      <c r="W11" s="906" t="n">
        <f aca="false">IF(ISERROR($D11/12),"",$D11/12)</f>
        <v>13944.4166666667</v>
      </c>
      <c r="X11" s="907" t="n">
        <f aca="false">14309+115+817+648</f>
        <v>15889</v>
      </c>
      <c r="Y11" s="913" t="n">
        <f aca="false">IF(ISERROR(X11/W11),"",X11/W11)</f>
        <v>1.13945246902882</v>
      </c>
      <c r="Z11" s="909" t="n">
        <f aca="false">SUM(Q11,T11,W11)</f>
        <v>41833.25</v>
      </c>
      <c r="AA11" s="920" t="n">
        <f aca="false">SUM(R11,U11,X11)</f>
        <v>44180</v>
      </c>
      <c r="AB11" s="911" t="n">
        <f aca="false">IF(ISERROR(AA11/Z11),"",AA11/Z11)</f>
        <v>1.0560977213102</v>
      </c>
      <c r="AC11" s="903" t="n">
        <f aca="false">IF(ISERROR($D11/12),"",$D11/12)</f>
        <v>13944.4166666667</v>
      </c>
      <c r="AD11" s="907"/>
      <c r="AE11" s="912" t="n">
        <f aca="false">IF(ISERROR(AD11/AC11),"",AD11/AC11)</f>
        <v>0</v>
      </c>
      <c r="AF11" s="906" t="n">
        <f aca="false">IF(ISERROR($D11/12),"",$D11/12)</f>
        <v>13944.4166666667</v>
      </c>
      <c r="AG11" s="914"/>
      <c r="AH11" s="912" t="n">
        <f aca="false">IF(ISERROR(AG11/AF11),"",AG11/AF11)</f>
        <v>0</v>
      </c>
      <c r="AI11" s="906" t="n">
        <f aca="false">IF(ISERROR($D11/12),"",$D11/12)</f>
        <v>13944.4166666667</v>
      </c>
      <c r="AJ11" s="907"/>
      <c r="AK11" s="913" t="n">
        <f aca="false">IF(ISERROR(AJ11/AI11),"",AJ11/AI11)</f>
        <v>0</v>
      </c>
      <c r="AL11" s="915" t="n">
        <f aca="false">SUM(AC11,AF11,AI11)</f>
        <v>41833.25</v>
      </c>
      <c r="AM11" s="920" t="n">
        <f aca="false">SUM(AD11,AG11,AJ11)</f>
        <v>0</v>
      </c>
      <c r="AN11" s="911" t="n">
        <f aca="false">IF(ISERROR(AM11/AL11),"",AM11/AL11)</f>
        <v>0</v>
      </c>
      <c r="AO11" s="903" t="n">
        <f aca="false">IF(ISERROR($D11/12),"",$D11/12)</f>
        <v>13944.4166666667</v>
      </c>
      <c r="AP11" s="907"/>
      <c r="AQ11" s="912" t="n">
        <f aca="false">IF(ISERROR(AP11/AO11),"",AP11/AO11)</f>
        <v>0</v>
      </c>
      <c r="AR11" s="906" t="n">
        <f aca="false">IF(ISERROR($D11/12),"",$D11/12)</f>
        <v>13944.4166666667</v>
      </c>
      <c r="AS11" s="907"/>
      <c r="AT11" s="912" t="n">
        <f aca="false">IF(ISERROR(AS11/AR11),"",AS11/AR11)</f>
        <v>0</v>
      </c>
      <c r="AU11" s="906" t="n">
        <f aca="false">IF(ISERROR($D11/12),"",$D11/12)</f>
        <v>13944.4166666667</v>
      </c>
      <c r="AV11" s="914"/>
      <c r="AW11" s="913" t="n">
        <f aca="false">IF(ISERROR(AV11/AU11),"",AV11/AU11)</f>
        <v>0</v>
      </c>
      <c r="AX11" s="909" t="n">
        <f aca="false">SUM(AO11,AR11,AU11)</f>
        <v>41833.25</v>
      </c>
      <c r="AY11" s="920" t="n">
        <f aca="false">SUM(AP11,AS11,AV11)</f>
        <v>0</v>
      </c>
      <c r="AZ11" s="911" t="n">
        <f aca="false">IF(ISERROR(AY11/AX11),"",AY11/AX11)</f>
        <v>0</v>
      </c>
      <c r="BA11" s="916" t="n">
        <f aca="false">D11</f>
        <v>167333</v>
      </c>
      <c r="BB11" s="917" t="n">
        <f aca="false">SUM(F11,I11,L11,R11,U11,X11,AD11,AG11,AJ11,AP11,AS11,AV11)</f>
        <v>96409</v>
      </c>
      <c r="BC11" s="918" t="n">
        <f aca="false">IF(ISERROR(BB11/BA11),"",BB11/BA11)</f>
        <v>0.576150550100697</v>
      </c>
      <c r="BD11" s="919"/>
      <c r="BE11" s="919"/>
      <c r="BF11" s="919"/>
    </row>
    <row collapsed="false" customFormat="false" customHeight="false" hidden="false" ht="12.8" outlineLevel="0" r="12">
      <c r="A12" s="922"/>
      <c r="B12" s="900" t="str">
        <f aca="false">17_Prog_Produc_2011!B15</f>
        <v>Consulta de Emergencia</v>
      </c>
      <c r="C12" s="901" t="s">
        <v>821</v>
      </c>
      <c r="D12" s="921" t="n">
        <f aca="false">17_Prog_Produc_2011!G15</f>
        <v>0</v>
      </c>
      <c r="E12" s="903" t="n">
        <f aca="false">IF(ISERROR($D12/12),"",$D12/12)</f>
        <v>0</v>
      </c>
      <c r="F12" s="907" t="n">
        <v>1757</v>
      </c>
      <c r="G12" s="905" t="str">
        <f aca="false">IF(ISERROR(F12/E12),"",F12/E12)</f>
        <v/>
      </c>
      <c r="H12" s="906" t="n">
        <f aca="false">IF(ISERROR($D12/12),"",$D12/12)</f>
        <v>0</v>
      </c>
      <c r="I12" s="907" t="n">
        <v>1717</v>
      </c>
      <c r="J12" s="905" t="str">
        <f aca="false">IF(ISERROR(I12/H12),"",I12/H12)</f>
        <v/>
      </c>
      <c r="K12" s="906" t="n">
        <f aca="false">IF(ISERROR($D12/12),"",$D12/12)</f>
        <v>0</v>
      </c>
      <c r="L12" s="907" t="n">
        <v>2533</v>
      </c>
      <c r="M12" s="908" t="str">
        <f aca="false">IF(ISERROR(L12/K12),"",L12/K12)</f>
        <v/>
      </c>
      <c r="N12" s="909" t="n">
        <f aca="false">SUM(E12,H12,K12)</f>
        <v>0</v>
      </c>
      <c r="O12" s="920" t="n">
        <f aca="false">SUM(F12,I12,L12)</f>
        <v>6007</v>
      </c>
      <c r="P12" s="911" t="str">
        <f aca="false">IF(ISERROR(O12/N12),"",O12/N12)</f>
        <v/>
      </c>
      <c r="Q12" s="903" t="n">
        <f aca="false">IF(ISERROR($D12/12),"",$D12/12)</f>
        <v>0</v>
      </c>
      <c r="R12" s="907" t="n">
        <v>1747</v>
      </c>
      <c r="S12" s="912" t="str">
        <f aca="false">IF(ISERROR(R12/Q12),"",R12/Q12)</f>
        <v/>
      </c>
      <c r="T12" s="906" t="n">
        <f aca="false">IF(ISERROR($D12/12),"",$D12/12)</f>
        <v>0</v>
      </c>
      <c r="U12" s="907" t="n">
        <v>1618</v>
      </c>
      <c r="V12" s="912" t="str">
        <f aca="false">IF(ISERROR(U12/T12),"",U12/T12)</f>
        <v/>
      </c>
      <c r="W12" s="906" t="n">
        <f aca="false">IF(ISERROR($D12/12),"",$D12/12)</f>
        <v>0</v>
      </c>
      <c r="X12" s="907" t="n">
        <v>1972</v>
      </c>
      <c r="Y12" s="913" t="str">
        <f aca="false">IF(ISERROR(X12/W12),"",X12/W12)</f>
        <v/>
      </c>
      <c r="Z12" s="909" t="n">
        <f aca="false">SUM(Q12,T12,W12)</f>
        <v>0</v>
      </c>
      <c r="AA12" s="920" t="n">
        <f aca="false">SUM(R12,U12,X12)</f>
        <v>5337</v>
      </c>
      <c r="AB12" s="911" t="str">
        <f aca="false">IF(ISERROR(AA12/Z12),"",AA12/Z12)</f>
        <v/>
      </c>
      <c r="AC12" s="903" t="n">
        <f aca="false">IF(ISERROR($D12/12),"",$D12/12)</f>
        <v>0</v>
      </c>
      <c r="AD12" s="907"/>
      <c r="AE12" s="912" t="str">
        <f aca="false">IF(ISERROR(AD12/AC12),"",AD12/AC12)</f>
        <v/>
      </c>
      <c r="AF12" s="906" t="n">
        <f aca="false">IF(ISERROR($D12/12),"",$D12/12)</f>
        <v>0</v>
      </c>
      <c r="AG12" s="914"/>
      <c r="AH12" s="912" t="str">
        <f aca="false">IF(ISERROR(AG12/AF12),"",AG12/AF12)</f>
        <v/>
      </c>
      <c r="AI12" s="906" t="n">
        <f aca="false">IF(ISERROR($D12/12),"",$D12/12)</f>
        <v>0</v>
      </c>
      <c r="AJ12" s="907"/>
      <c r="AK12" s="913" t="str">
        <f aca="false">IF(ISERROR(AJ12/AI12),"",AJ12/AI12)</f>
        <v/>
      </c>
      <c r="AL12" s="915" t="n">
        <f aca="false">SUM(AC12,AF12,AI12)</f>
        <v>0</v>
      </c>
      <c r="AM12" s="920" t="n">
        <f aca="false">SUM(AD12,AG12,AJ12)</f>
        <v>0</v>
      </c>
      <c r="AN12" s="911" t="str">
        <f aca="false">IF(ISERROR(AM12/AL12),"",AM12/AL12)</f>
        <v/>
      </c>
      <c r="AO12" s="903" t="n">
        <f aca="false">IF(ISERROR($D12/12),"",$D12/12)</f>
        <v>0</v>
      </c>
      <c r="AP12" s="907"/>
      <c r="AQ12" s="912" t="str">
        <f aca="false">IF(ISERROR(AP12/AO12),"",AP12/AO12)</f>
        <v/>
      </c>
      <c r="AR12" s="906" t="n">
        <f aca="false">IF(ISERROR($D12/12),"",$D12/12)</f>
        <v>0</v>
      </c>
      <c r="AS12" s="907"/>
      <c r="AT12" s="912" t="str">
        <f aca="false">IF(ISERROR(AS12/AR12),"",AS12/AR12)</f>
        <v/>
      </c>
      <c r="AU12" s="906" t="n">
        <f aca="false">IF(ISERROR($D12/12),"",$D12/12)</f>
        <v>0</v>
      </c>
      <c r="AV12" s="914"/>
      <c r="AW12" s="913" t="str">
        <f aca="false">IF(ISERROR(AV12/AU12),"",AV12/AU12)</f>
        <v/>
      </c>
      <c r="AX12" s="909" t="n">
        <f aca="false">SUM(AO12,AR12,AU12)</f>
        <v>0</v>
      </c>
      <c r="AY12" s="920" t="n">
        <f aca="false">SUM(AP12,AS12,AV12)</f>
        <v>0</v>
      </c>
      <c r="AZ12" s="911" t="str">
        <f aca="false">IF(ISERROR(AY12/AX12),"",AY12/AX12)</f>
        <v/>
      </c>
      <c r="BA12" s="916" t="n">
        <f aca="false">D12</f>
        <v>0</v>
      </c>
      <c r="BB12" s="917" t="n">
        <f aca="false">SUM(F12,I12,L12,R12,U12,X12,AD12,AG12,AJ12,AP12,AS12,AV12)</f>
        <v>11344</v>
      </c>
      <c r="BC12" s="918" t="str">
        <f aca="false">IF(ISERROR(BB12/BA12),"",BB12/BA12)</f>
        <v/>
      </c>
      <c r="BD12" s="919"/>
      <c r="BE12" s="919"/>
      <c r="BF12" s="919"/>
    </row>
    <row collapsed="false" customFormat="false" customHeight="false" hidden="false" ht="12.8" outlineLevel="0" r="13">
      <c r="A13" s="922"/>
      <c r="B13" s="900" t="str">
        <f aca="false">17_Prog_Produc_2011!B18</f>
        <v>Consulta Externa Odontologica</v>
      </c>
      <c r="C13" s="901" t="s">
        <v>821</v>
      </c>
      <c r="D13" s="921" t="n">
        <f aca="false">17_Prog_Produc_2011!G18</f>
        <v>13508</v>
      </c>
      <c r="E13" s="903" t="n">
        <f aca="false">IF(ISERROR($D13/12),"",$D13/12)</f>
        <v>1125.66666666667</v>
      </c>
      <c r="F13" s="907" t="n">
        <v>1501</v>
      </c>
      <c r="G13" s="905" t="n">
        <f aca="false">IF(ISERROR(F13/E13),"",F13/E13)</f>
        <v>1.33343204027243</v>
      </c>
      <c r="H13" s="906" t="n">
        <f aca="false">IF(ISERROR($D13/12),"",$D13/12)</f>
        <v>1125.66666666667</v>
      </c>
      <c r="I13" s="907" t="n">
        <v>1448</v>
      </c>
      <c r="J13" s="905" t="n">
        <f aca="false">IF(ISERROR(I13/H13),"",I13/H13)</f>
        <v>1.28634883032277</v>
      </c>
      <c r="K13" s="906" t="n">
        <f aca="false">IF(ISERROR($D13/12),"",$D13/12)</f>
        <v>1125.66666666667</v>
      </c>
      <c r="L13" s="907" t="n">
        <v>1607</v>
      </c>
      <c r="M13" s="908" t="n">
        <f aca="false">IF(ISERROR(L13/K13),"",L13/K13)</f>
        <v>1.42759846017175</v>
      </c>
      <c r="N13" s="909" t="n">
        <f aca="false">SUM(E13,H13,K13)</f>
        <v>3377</v>
      </c>
      <c r="O13" s="920" t="n">
        <f aca="false">SUM(F13,I13,L13)</f>
        <v>4556</v>
      </c>
      <c r="P13" s="911" t="n">
        <f aca="false">IF(ISERROR(O13/N13),"",O13/N13)</f>
        <v>1.34912644358898</v>
      </c>
      <c r="Q13" s="903" t="n">
        <f aca="false">IF(ISERROR($D13/12),"",$D13/12)</f>
        <v>1125.66666666667</v>
      </c>
      <c r="R13" s="907" t="n">
        <v>1232</v>
      </c>
      <c r="S13" s="912" t="n">
        <f aca="false">IF(ISERROR(R13/Q13),"",R13/Q13)</f>
        <v>1.09446254071661</v>
      </c>
      <c r="T13" s="906" t="n">
        <f aca="false">IF(ISERROR($D13/12),"",$D13/12)</f>
        <v>1125.66666666667</v>
      </c>
      <c r="U13" s="907" t="n">
        <v>1590</v>
      </c>
      <c r="V13" s="912" t="n">
        <f aca="false">IF(ISERROR(U13/T13),"",U13/T13)</f>
        <v>1.41249629848978</v>
      </c>
      <c r="W13" s="906" t="n">
        <f aca="false">IF(ISERROR($D13/12),"",$D13/12)</f>
        <v>1125.66666666667</v>
      </c>
      <c r="X13" s="907" t="n">
        <v>1475</v>
      </c>
      <c r="Y13" s="913" t="n">
        <f aca="false">IF(ISERROR(X13/W13),"",X13/W13)</f>
        <v>1.31033461652354</v>
      </c>
      <c r="Z13" s="909" t="n">
        <f aca="false">SUM(Q13,T13,W13)</f>
        <v>3377</v>
      </c>
      <c r="AA13" s="920" t="n">
        <f aca="false">SUM(R13,U13,X13)</f>
        <v>4297</v>
      </c>
      <c r="AB13" s="911" t="n">
        <f aca="false">IF(ISERROR(AA13/Z13),"",AA13/Z13)</f>
        <v>1.27243115190998</v>
      </c>
      <c r="AC13" s="903" t="n">
        <f aca="false">IF(ISERROR($D13/12),"",$D13/12)</f>
        <v>1125.66666666667</v>
      </c>
      <c r="AD13" s="907"/>
      <c r="AE13" s="912" t="n">
        <f aca="false">IF(ISERROR(AD13/AC13),"",AD13/AC13)</f>
        <v>0</v>
      </c>
      <c r="AF13" s="906" t="n">
        <f aca="false">IF(ISERROR($D13/12),"",$D13/12)</f>
        <v>1125.66666666667</v>
      </c>
      <c r="AG13" s="914"/>
      <c r="AH13" s="912" t="n">
        <f aca="false">IF(ISERROR(AG13/AF13),"",AG13/AF13)</f>
        <v>0</v>
      </c>
      <c r="AI13" s="906" t="n">
        <f aca="false">IF(ISERROR($D13/12),"",$D13/12)</f>
        <v>1125.66666666667</v>
      </c>
      <c r="AJ13" s="907"/>
      <c r="AK13" s="913" t="n">
        <f aca="false">IF(ISERROR(AJ13/AI13),"",AJ13/AI13)</f>
        <v>0</v>
      </c>
      <c r="AL13" s="915" t="n">
        <f aca="false">SUM(AC13,AF13,AI13)</f>
        <v>3377</v>
      </c>
      <c r="AM13" s="920" t="n">
        <f aca="false">SUM(AD13,AG13,AJ13)</f>
        <v>0</v>
      </c>
      <c r="AN13" s="911" t="n">
        <f aca="false">IF(ISERROR(AM13/AL13),"",AM13/AL13)</f>
        <v>0</v>
      </c>
      <c r="AO13" s="903" t="n">
        <f aca="false">IF(ISERROR($D13/12),"",$D13/12)</f>
        <v>1125.66666666667</v>
      </c>
      <c r="AP13" s="907"/>
      <c r="AQ13" s="912" t="n">
        <f aca="false">IF(ISERROR(AP13/AO13),"",AP13/AO13)</f>
        <v>0</v>
      </c>
      <c r="AR13" s="906" t="n">
        <f aca="false">IF(ISERROR($D13/12),"",$D13/12)</f>
        <v>1125.66666666667</v>
      </c>
      <c r="AS13" s="907"/>
      <c r="AT13" s="912" t="n">
        <f aca="false">IF(ISERROR(AS13/AR13),"",AS13/AR13)</f>
        <v>0</v>
      </c>
      <c r="AU13" s="906" t="n">
        <f aca="false">IF(ISERROR($D13/12),"",$D13/12)</f>
        <v>1125.66666666667</v>
      </c>
      <c r="AV13" s="914"/>
      <c r="AW13" s="913" t="n">
        <f aca="false">IF(ISERROR(AV13/AU13),"",AV13/AU13)</f>
        <v>0</v>
      </c>
      <c r="AX13" s="909" t="n">
        <f aca="false">SUM(AO13,AR13,AU13)</f>
        <v>3377</v>
      </c>
      <c r="AY13" s="920" t="n">
        <f aca="false">SUM(AP13,AS13,AV13)</f>
        <v>0</v>
      </c>
      <c r="AZ13" s="911" t="n">
        <f aca="false">IF(ISERROR(AY13/AX13),"",AY13/AX13)</f>
        <v>0</v>
      </c>
      <c r="BA13" s="916" t="n">
        <f aca="false">D13</f>
        <v>13508</v>
      </c>
      <c r="BB13" s="917" t="n">
        <f aca="false">SUM(F13,I13,L13,R13,U13,X13,AD13,AG13,AJ13,AP13,AS13,AV13)</f>
        <v>8853</v>
      </c>
      <c r="BC13" s="918" t="n">
        <f aca="false">IF(ISERROR(BB13/BA13),"",BB13/BA13)</f>
        <v>0.655389398874741</v>
      </c>
      <c r="BD13" s="919"/>
      <c r="BE13" s="919"/>
      <c r="BF13" s="919"/>
    </row>
    <row collapsed="false" customFormat="false" customHeight="false" hidden="false" ht="12.8" outlineLevel="0" r="14">
      <c r="A14" s="922"/>
      <c r="B14" s="900" t="str">
        <f aca="false">17_Prog_Produc_2011!B21</f>
        <v>Procedimientos de Cirugia Menor</v>
      </c>
      <c r="C14" s="923" t="s">
        <v>822</v>
      </c>
      <c r="D14" s="921" t="n">
        <f aca="false">17_Prog_Produc_2011!G21</f>
        <v>10500</v>
      </c>
      <c r="E14" s="903" t="n">
        <f aca="false">IF(ISERROR($D14/12),"",$D14/12)</f>
        <v>875</v>
      </c>
      <c r="F14" s="907" t="n">
        <v>861</v>
      </c>
      <c r="G14" s="905" t="n">
        <f aca="false">IF(ISERROR(F14/E14),"",F14/E14)</f>
        <v>0.984</v>
      </c>
      <c r="H14" s="906" t="n">
        <f aca="false">IF(ISERROR($D14/12),"",$D14/12)</f>
        <v>875</v>
      </c>
      <c r="I14" s="907" t="n">
        <v>843</v>
      </c>
      <c r="J14" s="905" t="n">
        <f aca="false">IF(ISERROR(I14/H14),"",I14/H14)</f>
        <v>0.963428571428571</v>
      </c>
      <c r="K14" s="906" t="n">
        <f aca="false">IF(ISERROR($D14/12),"",$D14/12)</f>
        <v>875</v>
      </c>
      <c r="L14" s="907" t="n">
        <v>966</v>
      </c>
      <c r="M14" s="908" t="n">
        <f aca="false">IF(ISERROR(L14/K14),"",L14/K14)</f>
        <v>1.104</v>
      </c>
      <c r="N14" s="909" t="n">
        <f aca="false">SUM(E14,H14,K14)</f>
        <v>2625</v>
      </c>
      <c r="O14" s="920" t="n">
        <f aca="false">SUM(F14,I14,L14)</f>
        <v>2670</v>
      </c>
      <c r="P14" s="911" t="n">
        <f aca="false">IF(ISERROR(O14/N14),"",O14/N14)</f>
        <v>1.01714285714286</v>
      </c>
      <c r="Q14" s="903" t="n">
        <f aca="false">IF(ISERROR($D14/12),"",$D14/12)</f>
        <v>875</v>
      </c>
      <c r="R14" s="907" t="n">
        <v>793</v>
      </c>
      <c r="S14" s="912" t="n">
        <f aca="false">IF(ISERROR(R14/Q14),"",R14/Q14)</f>
        <v>0.906285714285714</v>
      </c>
      <c r="T14" s="906" t="n">
        <f aca="false">IF(ISERROR($D14/12),"",$D14/12)</f>
        <v>875</v>
      </c>
      <c r="U14" s="907" t="n">
        <v>855</v>
      </c>
      <c r="V14" s="912" t="n">
        <f aca="false">IF(ISERROR(U14/T14),"",U14/T14)</f>
        <v>0.977142857142857</v>
      </c>
      <c r="W14" s="906" t="n">
        <f aca="false">IF(ISERROR($D14/12),"",$D14/12)</f>
        <v>875</v>
      </c>
      <c r="X14" s="907" t="n">
        <v>881</v>
      </c>
      <c r="Y14" s="913" t="n">
        <f aca="false">IF(ISERROR(X14/W14),"",X14/W14)</f>
        <v>1.00685714285714</v>
      </c>
      <c r="Z14" s="909" t="n">
        <f aca="false">SUM(Q14,T14,W14)</f>
        <v>2625</v>
      </c>
      <c r="AA14" s="920" t="n">
        <f aca="false">SUM(R14,U14,X14)</f>
        <v>2529</v>
      </c>
      <c r="AB14" s="911" t="n">
        <f aca="false">IF(ISERROR(AA14/Z14),"",AA14/Z14)</f>
        <v>0.963428571428571</v>
      </c>
      <c r="AC14" s="903" t="n">
        <f aca="false">IF(ISERROR($D14/12),"",$D14/12)</f>
        <v>875</v>
      </c>
      <c r="AD14" s="907"/>
      <c r="AE14" s="912" t="n">
        <f aca="false">IF(ISERROR(AD14/AC14),"",AD14/AC14)</f>
        <v>0</v>
      </c>
      <c r="AF14" s="906" t="n">
        <f aca="false">IF(ISERROR($D14/12),"",$D14/12)</f>
        <v>875</v>
      </c>
      <c r="AG14" s="914"/>
      <c r="AH14" s="912" t="n">
        <f aca="false">IF(ISERROR(AG14/AF14),"",AG14/AF14)</f>
        <v>0</v>
      </c>
      <c r="AI14" s="906" t="n">
        <f aca="false">IF(ISERROR($D14/12),"",$D14/12)</f>
        <v>875</v>
      </c>
      <c r="AJ14" s="907"/>
      <c r="AK14" s="913" t="n">
        <f aca="false">IF(ISERROR(AJ14/AI14),"",AJ14/AI14)</f>
        <v>0</v>
      </c>
      <c r="AL14" s="915" t="n">
        <f aca="false">SUM(AC14,AF14,AI14)</f>
        <v>2625</v>
      </c>
      <c r="AM14" s="920" t="n">
        <f aca="false">SUM(AD14,AG14,AJ14)</f>
        <v>0</v>
      </c>
      <c r="AN14" s="911" t="n">
        <f aca="false">IF(ISERROR(AM14/AL14),"",AM14/AL14)</f>
        <v>0</v>
      </c>
      <c r="AO14" s="903" t="n">
        <f aca="false">IF(ISERROR($D14/12),"",$D14/12)</f>
        <v>875</v>
      </c>
      <c r="AP14" s="907"/>
      <c r="AQ14" s="912" t="n">
        <f aca="false">IF(ISERROR(AP14/AO14),"",AP14/AO14)</f>
        <v>0</v>
      </c>
      <c r="AR14" s="906" t="n">
        <f aca="false">IF(ISERROR($D14/12),"",$D14/12)</f>
        <v>875</v>
      </c>
      <c r="AS14" s="907"/>
      <c r="AT14" s="912" t="n">
        <f aca="false">IF(ISERROR(AS14/AR14),"",AS14/AR14)</f>
        <v>0</v>
      </c>
      <c r="AU14" s="906" t="n">
        <f aca="false">IF(ISERROR($D14/12),"",$D14/12)</f>
        <v>875</v>
      </c>
      <c r="AV14" s="914"/>
      <c r="AW14" s="913" t="n">
        <f aca="false">IF(ISERROR(AV14/AU14),"",AV14/AU14)</f>
        <v>0</v>
      </c>
      <c r="AX14" s="909" t="n">
        <f aca="false">SUM(AO14,AR14,AU14)</f>
        <v>2625</v>
      </c>
      <c r="AY14" s="920" t="n">
        <f aca="false">SUM(AP14,AS14,AV14)</f>
        <v>0</v>
      </c>
      <c r="AZ14" s="911" t="n">
        <f aca="false">IF(ISERROR(AY14/AX14),"",AY14/AX14)</f>
        <v>0</v>
      </c>
      <c r="BA14" s="916" t="n">
        <f aca="false">D14</f>
        <v>10500</v>
      </c>
      <c r="BB14" s="917" t="n">
        <f aca="false">SUM(F14,I14,L14,R14,U14,X14,AD14,AG14,AJ14,AP14,AS14,AV14)</f>
        <v>5199</v>
      </c>
      <c r="BC14" s="918" t="n">
        <f aca="false">IF(ISERROR(BB14/BA14),"",BB14/BA14)</f>
        <v>0.495142857142857</v>
      </c>
      <c r="BD14" s="919"/>
      <c r="BE14" s="919"/>
      <c r="BF14" s="919"/>
    </row>
    <row collapsed="false" customFormat="false" customHeight="false" hidden="false" ht="12.8" outlineLevel="0" r="15">
      <c r="A15" s="922"/>
      <c r="B15" s="900" t="str">
        <f aca="false">17_Prog_Produc_2011!B22</f>
        <v>Otros Procedimientos Ambulatorios</v>
      </c>
      <c r="C15" s="923" t="s">
        <v>822</v>
      </c>
      <c r="D15" s="921"/>
      <c r="E15" s="903" t="n">
        <f aca="false">IF(ISERROR($D15/12),"",$D15/12)</f>
        <v>0</v>
      </c>
      <c r="F15" s="907"/>
      <c r="G15" s="905" t="str">
        <f aca="false">IF(ISERROR(F15/E15),"",F15/E15)</f>
        <v/>
      </c>
      <c r="H15" s="906" t="n">
        <f aca="false">IF(ISERROR($D15/12),"",$D15/12)</f>
        <v>0</v>
      </c>
      <c r="I15" s="907"/>
      <c r="J15" s="905" t="str">
        <f aca="false">IF(ISERROR(I15/H15),"",I15/H15)</f>
        <v/>
      </c>
      <c r="K15" s="906" t="n">
        <f aca="false">IF(ISERROR($D15/12),"",$D15/12)</f>
        <v>0</v>
      </c>
      <c r="L15" s="907"/>
      <c r="M15" s="908" t="str">
        <f aca="false">IF(ISERROR(L15/K15),"",L15/K15)</f>
        <v/>
      </c>
      <c r="N15" s="909" t="n">
        <f aca="false">SUM(E15,H15,K15)</f>
        <v>0</v>
      </c>
      <c r="O15" s="920" t="n">
        <f aca="false">SUM(F15,I15,L15)</f>
        <v>0</v>
      </c>
      <c r="P15" s="911" t="str">
        <f aca="false">IF(ISERROR(O15/N15),"",O15/N15)</f>
        <v/>
      </c>
      <c r="Q15" s="903" t="n">
        <f aca="false">IF(ISERROR($D15/12),"",$D15/12)</f>
        <v>0</v>
      </c>
      <c r="R15" s="907"/>
      <c r="S15" s="912" t="str">
        <f aca="false">IF(ISERROR(R15/Q15),"",R15/Q15)</f>
        <v/>
      </c>
      <c r="T15" s="906" t="n">
        <f aca="false">IF(ISERROR($D15/12),"",$D15/12)</f>
        <v>0</v>
      </c>
      <c r="U15" s="907"/>
      <c r="V15" s="912" t="str">
        <f aca="false">IF(ISERROR(U15/T15),"",U15/T15)</f>
        <v/>
      </c>
      <c r="W15" s="906" t="n">
        <f aca="false">IF(ISERROR($D15/12),"",$D15/12)</f>
        <v>0</v>
      </c>
      <c r="X15" s="907"/>
      <c r="Y15" s="913" t="str">
        <f aca="false">IF(ISERROR(X15/W15),"",X15/W15)</f>
        <v/>
      </c>
      <c r="Z15" s="909" t="n">
        <f aca="false">SUM(Q15,T15,W15)</f>
        <v>0</v>
      </c>
      <c r="AA15" s="920" t="n">
        <f aca="false">SUM(R15,U15,X15)</f>
        <v>0</v>
      </c>
      <c r="AB15" s="911" t="str">
        <f aca="false">IF(ISERROR(AA15/Z15),"",AA15/Z15)</f>
        <v/>
      </c>
      <c r="AC15" s="903" t="n">
        <f aca="false">IF(ISERROR($D15/12),"",$D15/12)</f>
        <v>0</v>
      </c>
      <c r="AD15" s="907"/>
      <c r="AE15" s="912" t="str">
        <f aca="false">IF(ISERROR(AD15/AC15),"",AD15/AC15)</f>
        <v/>
      </c>
      <c r="AF15" s="906" t="n">
        <f aca="false">IF(ISERROR($D15/12),"",$D15/12)</f>
        <v>0</v>
      </c>
      <c r="AG15" s="914"/>
      <c r="AH15" s="912" t="str">
        <f aca="false">IF(ISERROR(AG15/AF15),"",AG15/AF15)</f>
        <v/>
      </c>
      <c r="AI15" s="906" t="n">
        <f aca="false">IF(ISERROR($D15/12),"",$D15/12)</f>
        <v>0</v>
      </c>
      <c r="AJ15" s="907"/>
      <c r="AK15" s="913" t="str">
        <f aca="false">IF(ISERROR(AJ15/AI15),"",AJ15/AI15)</f>
        <v/>
      </c>
      <c r="AL15" s="915" t="n">
        <f aca="false">SUM(AC15,AF15,AI15)</f>
        <v>0</v>
      </c>
      <c r="AM15" s="920" t="n">
        <f aca="false">SUM(AD15,AG15,AJ15)</f>
        <v>0</v>
      </c>
      <c r="AN15" s="911" t="str">
        <f aca="false">IF(ISERROR(AM15/AL15),"",AM15/AL15)</f>
        <v/>
      </c>
      <c r="AO15" s="903" t="n">
        <f aca="false">IF(ISERROR($D15/12),"",$D15/12)</f>
        <v>0</v>
      </c>
      <c r="AP15" s="907"/>
      <c r="AQ15" s="912" t="str">
        <f aca="false">IF(ISERROR(AP15/AO15),"",AP15/AO15)</f>
        <v/>
      </c>
      <c r="AR15" s="906" t="n">
        <f aca="false">IF(ISERROR($D15/12),"",$D15/12)</f>
        <v>0</v>
      </c>
      <c r="AS15" s="907"/>
      <c r="AT15" s="912" t="str">
        <f aca="false">IF(ISERROR(AS15/AR15),"",AS15/AR15)</f>
        <v/>
      </c>
      <c r="AU15" s="906" t="n">
        <f aca="false">IF(ISERROR($D15/12),"",$D15/12)</f>
        <v>0</v>
      </c>
      <c r="AV15" s="914"/>
      <c r="AW15" s="913" t="str">
        <f aca="false">IF(ISERROR(AV15/AU15),"",AV15/AU15)</f>
        <v/>
      </c>
      <c r="AX15" s="909" t="n">
        <f aca="false">SUM(AO15,AR15,AU15)</f>
        <v>0</v>
      </c>
      <c r="AY15" s="920" t="n">
        <f aca="false">SUM(AP15,AS15,AV15)</f>
        <v>0</v>
      </c>
      <c r="AZ15" s="911" t="str">
        <f aca="false">IF(ISERROR(AY15/AX15),"",AY15/AX15)</f>
        <v/>
      </c>
      <c r="BA15" s="916" t="n">
        <f aca="false">D15</f>
        <v>0</v>
      </c>
      <c r="BB15" s="917" t="n">
        <f aca="false">SUM(F15,I15,L15,R15,U15,X15,AD15,AG15,AJ15,AP15,AS15,AV15)</f>
        <v>0</v>
      </c>
      <c r="BC15" s="918" t="str">
        <f aca="false">IF(ISERROR(BB15/BA15),"",BB15/BA15)</f>
        <v/>
      </c>
      <c r="BD15" s="919"/>
      <c r="BE15" s="919"/>
      <c r="BF15" s="919"/>
    </row>
    <row collapsed="false" customFormat="false" customHeight="false" hidden="false" ht="12.8" outlineLevel="0" r="16">
      <c r="A16" s="922"/>
      <c r="B16" s="924" t="str">
        <f aca="false">17_Prog_Produc_2011!B23</f>
        <v>Tratamientos de Nefrología (Diálisis peritoneal)</v>
      </c>
      <c r="C16" s="923" t="s">
        <v>822</v>
      </c>
      <c r="D16" s="921" t="n">
        <f aca="false">17_Prog_Produc_2011!G23</f>
        <v>4500</v>
      </c>
      <c r="E16" s="903" t="n">
        <f aca="false">IF(ISERROR($D16/12),"",$D16/12)</f>
        <v>375</v>
      </c>
      <c r="F16" s="907" t="n">
        <v>336</v>
      </c>
      <c r="G16" s="905" t="n">
        <f aca="false">IF(ISERROR(F16/E16),"",F16/E16)</f>
        <v>0.896</v>
      </c>
      <c r="H16" s="906" t="n">
        <f aca="false">IF(ISERROR($D16/12),"",$D16/12)</f>
        <v>375</v>
      </c>
      <c r="I16" s="907" t="n">
        <v>224</v>
      </c>
      <c r="J16" s="905" t="n">
        <f aca="false">IF(ISERROR(I16/H16),"",I16/H16)</f>
        <v>0.597333333333333</v>
      </c>
      <c r="K16" s="906" t="n">
        <f aca="false">IF(ISERROR($D16/12),"",$D16/12)</f>
        <v>375</v>
      </c>
      <c r="L16" s="907" t="n">
        <v>252</v>
      </c>
      <c r="M16" s="908" t="n">
        <f aca="false">IF(ISERROR(L16/K16),"",L16/K16)</f>
        <v>0.672</v>
      </c>
      <c r="N16" s="909" t="n">
        <f aca="false">SUM(E16,H16,K16)</f>
        <v>1125</v>
      </c>
      <c r="O16" s="920" t="n">
        <f aca="false">SUM(F16,I16,L16)</f>
        <v>812</v>
      </c>
      <c r="P16" s="911" t="n">
        <f aca="false">IF(ISERROR(O16/N16),"",O16/N16)</f>
        <v>0.721777777777778</v>
      </c>
      <c r="Q16" s="903" t="n">
        <f aca="false">IF(ISERROR($D16/12),"",$D16/12)</f>
        <v>375</v>
      </c>
      <c r="R16" s="907" t="n">
        <v>364</v>
      </c>
      <c r="S16" s="912" t="n">
        <f aca="false">IF(ISERROR(R16/Q16),"",R16/Q16)</f>
        <v>0.970666666666667</v>
      </c>
      <c r="T16" s="906" t="n">
        <f aca="false">IF(ISERROR($D16/12),"",$D16/12)</f>
        <v>375</v>
      </c>
      <c r="U16" s="907" t="n">
        <v>310</v>
      </c>
      <c r="V16" s="912" t="n">
        <f aca="false">IF(ISERROR(U16/T16),"",U16/T16)</f>
        <v>0.826666666666667</v>
      </c>
      <c r="W16" s="906" t="n">
        <f aca="false">IF(ISERROR($D16/12),"",$D16/12)</f>
        <v>375</v>
      </c>
      <c r="X16" s="907" t="n">
        <v>159</v>
      </c>
      <c r="Y16" s="913" t="n">
        <f aca="false">IF(ISERROR(X16/W16),"",X16/W16)</f>
        <v>0.424</v>
      </c>
      <c r="Z16" s="909" t="n">
        <f aca="false">SUM(Q16,T16,W16)</f>
        <v>1125</v>
      </c>
      <c r="AA16" s="920" t="n">
        <f aca="false">SUM(R16,U16,X16)</f>
        <v>833</v>
      </c>
      <c r="AB16" s="911" t="n">
        <f aca="false">IF(ISERROR(AA16/Z16),"",AA16/Z16)</f>
        <v>0.740444444444444</v>
      </c>
      <c r="AC16" s="903" t="n">
        <f aca="false">IF(ISERROR($D16/12),"",$D16/12)</f>
        <v>375</v>
      </c>
      <c r="AD16" s="907"/>
      <c r="AE16" s="912" t="n">
        <f aca="false">IF(ISERROR(AD16/AC16),"",AD16/AC16)</f>
        <v>0</v>
      </c>
      <c r="AF16" s="906" t="n">
        <f aca="false">IF(ISERROR($D16/12),"",$D16/12)</f>
        <v>375</v>
      </c>
      <c r="AG16" s="914"/>
      <c r="AH16" s="912" t="n">
        <f aca="false">IF(ISERROR(AG16/AF16),"",AG16/AF16)</f>
        <v>0</v>
      </c>
      <c r="AI16" s="906" t="n">
        <f aca="false">IF(ISERROR($D16/12),"",$D16/12)</f>
        <v>375</v>
      </c>
      <c r="AJ16" s="907"/>
      <c r="AK16" s="913" t="n">
        <f aca="false">IF(ISERROR(AJ16/AI16),"",AJ16/AI16)</f>
        <v>0</v>
      </c>
      <c r="AL16" s="915" t="n">
        <f aca="false">SUM(AC16,AF16,AI16)</f>
        <v>1125</v>
      </c>
      <c r="AM16" s="920" t="n">
        <f aca="false">SUM(AD16,AG16,AJ16)</f>
        <v>0</v>
      </c>
      <c r="AN16" s="911" t="n">
        <f aca="false">IF(ISERROR(AM16/AL16),"",AM16/AL16)</f>
        <v>0</v>
      </c>
      <c r="AO16" s="903" t="n">
        <f aca="false">IF(ISERROR($D16/12),"",$D16/12)</f>
        <v>375</v>
      </c>
      <c r="AP16" s="907"/>
      <c r="AQ16" s="912" t="n">
        <f aca="false">IF(ISERROR(AP16/AO16),"",AP16/AO16)</f>
        <v>0</v>
      </c>
      <c r="AR16" s="906" t="n">
        <f aca="false">IF(ISERROR($D16/12),"",$D16/12)</f>
        <v>375</v>
      </c>
      <c r="AS16" s="907"/>
      <c r="AT16" s="912" t="n">
        <f aca="false">IF(ISERROR(AS16/AR16),"",AS16/AR16)</f>
        <v>0</v>
      </c>
      <c r="AU16" s="906" t="n">
        <f aca="false">IF(ISERROR($D16/12),"",$D16/12)</f>
        <v>375</v>
      </c>
      <c r="AV16" s="914"/>
      <c r="AW16" s="913" t="n">
        <f aca="false">IF(ISERROR(AV16/AU16),"",AV16/AU16)</f>
        <v>0</v>
      </c>
      <c r="AX16" s="909" t="n">
        <f aca="false">SUM(AO16,AR16,AU16)</f>
        <v>1125</v>
      </c>
      <c r="AY16" s="920" t="n">
        <f aca="false">SUM(AP16,AS16,AV16)</f>
        <v>0</v>
      </c>
      <c r="AZ16" s="911" t="n">
        <f aca="false">IF(ISERROR(AY16/AX16),"",AY16/AX16)</f>
        <v>0</v>
      </c>
      <c r="BA16" s="916" t="n">
        <f aca="false">D16</f>
        <v>4500</v>
      </c>
      <c r="BB16" s="917" t="n">
        <f aca="false">SUM(F16,I16,L16,R16,U16,X16,AD16,AG16,AJ16,AP16,AS16,AV16)</f>
        <v>1645</v>
      </c>
      <c r="BC16" s="918" t="n">
        <f aca="false">IF(ISERROR(BB16/BA16),"",BB16/BA16)</f>
        <v>0.365555555555556</v>
      </c>
      <c r="BD16" s="919"/>
      <c r="BE16" s="919"/>
      <c r="BF16" s="919"/>
    </row>
    <row collapsed="false" customFormat="false" customHeight="false" hidden="false" ht="12.8" outlineLevel="0" r="17">
      <c r="A17" s="922"/>
      <c r="B17" s="924" t="str">
        <f aca="false">17_Prog_Produc_2011!B24</f>
        <v>Tratamientos de Nefrología (Hemodiálisis)</v>
      </c>
      <c r="C17" s="923" t="s">
        <v>822</v>
      </c>
      <c r="D17" s="921" t="n">
        <f aca="false">17_Prog_Produc_2011!G24</f>
        <v>3200</v>
      </c>
      <c r="E17" s="903" t="n">
        <f aca="false">IF(ISERROR($D17/12),"",$D17/12)</f>
        <v>266.666666666667</v>
      </c>
      <c r="F17" s="907" t="n">
        <v>264</v>
      </c>
      <c r="G17" s="905" t="n">
        <f aca="false">IF(ISERROR(F17/E17),"",F17/E17)</f>
        <v>0.99</v>
      </c>
      <c r="H17" s="906" t="n">
        <f aca="false">IF(ISERROR($D17/12),"",$D17/12)</f>
        <v>266.666666666667</v>
      </c>
      <c r="I17" s="907" t="n">
        <v>247</v>
      </c>
      <c r="J17" s="905" t="n">
        <f aca="false">IF(ISERROR(I17/H17),"",I17/H17)</f>
        <v>0.92625</v>
      </c>
      <c r="K17" s="906" t="n">
        <f aca="false">IF(ISERROR($D17/12),"",$D17/12)</f>
        <v>266.666666666667</v>
      </c>
      <c r="L17" s="907" t="n">
        <v>213</v>
      </c>
      <c r="M17" s="908" t="n">
        <f aca="false">IF(ISERROR(L17/K17),"",L17/K17)</f>
        <v>0.79875</v>
      </c>
      <c r="N17" s="909" t="n">
        <f aca="false">SUM(E17,H17,K17)</f>
        <v>800</v>
      </c>
      <c r="O17" s="920" t="n">
        <f aca="false">SUM(F17,I17,L17)</f>
        <v>724</v>
      </c>
      <c r="P17" s="911" t="n">
        <f aca="false">IF(ISERROR(O17/N17),"",O17/N17)</f>
        <v>0.905</v>
      </c>
      <c r="Q17" s="903" t="n">
        <f aca="false">IF(ISERROR($D17/12),"",$D17/12)</f>
        <v>266.666666666667</v>
      </c>
      <c r="R17" s="907" t="n">
        <v>226</v>
      </c>
      <c r="S17" s="912" t="n">
        <f aca="false">IF(ISERROR(R17/Q17),"",R17/Q17)</f>
        <v>0.8475</v>
      </c>
      <c r="T17" s="906" t="n">
        <f aca="false">IF(ISERROR($D17/12),"",$D17/12)</f>
        <v>266.666666666667</v>
      </c>
      <c r="U17" s="907" t="n">
        <v>251</v>
      </c>
      <c r="V17" s="912" t="n">
        <f aca="false">IF(ISERROR(U17/T17),"",U17/T17)</f>
        <v>0.94125</v>
      </c>
      <c r="W17" s="906" t="n">
        <f aca="false">IF(ISERROR($D17/12),"",$D17/12)</f>
        <v>266.666666666667</v>
      </c>
      <c r="X17" s="907" t="n">
        <v>250</v>
      </c>
      <c r="Y17" s="913" t="n">
        <f aca="false">IF(ISERROR(X17/W17),"",X17/W17)</f>
        <v>0.9375</v>
      </c>
      <c r="Z17" s="909" t="n">
        <f aca="false">SUM(Q17,T17,W17)</f>
        <v>800</v>
      </c>
      <c r="AA17" s="920" t="n">
        <f aca="false">SUM(R17,U17,X17)</f>
        <v>727</v>
      </c>
      <c r="AB17" s="911" t="n">
        <f aca="false">IF(ISERROR(AA17/Z17),"",AA17/Z17)</f>
        <v>0.90875</v>
      </c>
      <c r="AC17" s="903" t="n">
        <f aca="false">IF(ISERROR($D17/12),"",$D17/12)</f>
        <v>266.666666666667</v>
      </c>
      <c r="AD17" s="907"/>
      <c r="AE17" s="912" t="n">
        <f aca="false">IF(ISERROR(AD17/AC17),"",AD17/AC17)</f>
        <v>0</v>
      </c>
      <c r="AF17" s="906" t="n">
        <f aca="false">IF(ISERROR($D17/12),"",$D17/12)</f>
        <v>266.666666666667</v>
      </c>
      <c r="AG17" s="914"/>
      <c r="AH17" s="912" t="n">
        <f aca="false">IF(ISERROR(AG17/AF17),"",AG17/AF17)</f>
        <v>0</v>
      </c>
      <c r="AI17" s="906" t="n">
        <f aca="false">IF(ISERROR($D17/12),"",$D17/12)</f>
        <v>266.666666666667</v>
      </c>
      <c r="AJ17" s="907"/>
      <c r="AK17" s="913" t="n">
        <f aca="false">IF(ISERROR(AJ17/AI17),"",AJ17/AI17)</f>
        <v>0</v>
      </c>
      <c r="AL17" s="915" t="n">
        <f aca="false">SUM(AC17,AF17,AI17)</f>
        <v>800</v>
      </c>
      <c r="AM17" s="920" t="n">
        <f aca="false">SUM(AD17,AG17,AJ17)</f>
        <v>0</v>
      </c>
      <c r="AN17" s="911" t="n">
        <f aca="false">IF(ISERROR(AM17/AL17),"",AM17/AL17)</f>
        <v>0</v>
      </c>
      <c r="AO17" s="903" t="n">
        <f aca="false">IF(ISERROR($D17/12),"",$D17/12)</f>
        <v>266.666666666667</v>
      </c>
      <c r="AP17" s="907"/>
      <c r="AQ17" s="912" t="n">
        <f aca="false">IF(ISERROR(AP17/AO17),"",AP17/AO17)</f>
        <v>0</v>
      </c>
      <c r="AR17" s="906" t="n">
        <f aca="false">IF(ISERROR($D17/12),"",$D17/12)</f>
        <v>266.666666666667</v>
      </c>
      <c r="AS17" s="907"/>
      <c r="AT17" s="912" t="n">
        <f aca="false">IF(ISERROR(AS17/AR17),"",AS17/AR17)</f>
        <v>0</v>
      </c>
      <c r="AU17" s="906" t="n">
        <f aca="false">IF(ISERROR($D17/12),"",$D17/12)</f>
        <v>266.666666666667</v>
      </c>
      <c r="AV17" s="914"/>
      <c r="AW17" s="913" t="n">
        <f aca="false">IF(ISERROR(AV17/AU17),"",AV17/AU17)</f>
        <v>0</v>
      </c>
      <c r="AX17" s="909" t="n">
        <f aca="false">SUM(AO17,AR17,AU17)</f>
        <v>800</v>
      </c>
      <c r="AY17" s="920" t="n">
        <f aca="false">SUM(AP17,AS17,AV17)</f>
        <v>0</v>
      </c>
      <c r="AZ17" s="911" t="n">
        <f aca="false">IF(ISERROR(AY17/AX17),"",AY17/AX17)</f>
        <v>0</v>
      </c>
      <c r="BA17" s="916" t="n">
        <f aca="false">D17</f>
        <v>3200</v>
      </c>
      <c r="BB17" s="917" t="n">
        <f aca="false">SUM(F17,I17,L17,R17,U17,X17,AD17,AG17,AJ17,AP17,AS17,AV17)</f>
        <v>1451</v>
      </c>
      <c r="BC17" s="918" t="n">
        <f aca="false">IF(ISERROR(BB17/BA17),"",BB17/BA17)</f>
        <v>0.4534375</v>
      </c>
      <c r="BD17" s="919"/>
      <c r="BE17" s="919"/>
      <c r="BF17" s="919"/>
    </row>
    <row collapsed="false" customFormat="false" customHeight="false" hidden="false" ht="12.8" outlineLevel="0" r="18">
      <c r="A18" s="922"/>
      <c r="B18" s="924" t="str">
        <f aca="false">17_Prog_Produc_2011!B25</f>
        <v>Tratamientos de Oncología </v>
      </c>
      <c r="C18" s="923" t="s">
        <v>822</v>
      </c>
      <c r="D18" s="921" t="n">
        <f aca="false">17_Prog_Produc_2011!G25</f>
        <v>20000</v>
      </c>
      <c r="E18" s="903" t="n">
        <f aca="false">IF(ISERROR($D18/12),"",$D18/12)</f>
        <v>1666.66666666667</v>
      </c>
      <c r="F18" s="907" t="n">
        <v>1362</v>
      </c>
      <c r="G18" s="905" t="n">
        <f aca="false">IF(ISERROR(F18/E18),"",F18/E18)</f>
        <v>0.8172</v>
      </c>
      <c r="H18" s="906" t="n">
        <f aca="false">IF(ISERROR($D18/12),"",$D18/12)</f>
        <v>1666.66666666667</v>
      </c>
      <c r="I18" s="907" t="n">
        <v>1413</v>
      </c>
      <c r="J18" s="905" t="n">
        <f aca="false">IF(ISERROR(I18/H18),"",I18/H18)</f>
        <v>0.8478</v>
      </c>
      <c r="K18" s="906" t="n">
        <f aca="false">IF(ISERROR($D18/12),"",$D18/12)</f>
        <v>1666.66666666667</v>
      </c>
      <c r="L18" s="907" t="n">
        <v>1176</v>
      </c>
      <c r="M18" s="908" t="n">
        <f aca="false">IF(ISERROR(L18/K18),"",L18/K18)</f>
        <v>0.7056</v>
      </c>
      <c r="N18" s="909" t="n">
        <f aca="false">SUM(E18,H18,K18)</f>
        <v>5000</v>
      </c>
      <c r="O18" s="920" t="n">
        <f aca="false">SUM(F18,I18,L18)</f>
        <v>3951</v>
      </c>
      <c r="P18" s="911" t="n">
        <f aca="false">IF(ISERROR(O18/N18),"",O18/N18)</f>
        <v>0.7902</v>
      </c>
      <c r="Q18" s="903" t="n">
        <f aca="false">IF(ISERROR($D18/12),"",$D18/12)</f>
        <v>1666.66666666667</v>
      </c>
      <c r="R18" s="907" t="n">
        <v>1233</v>
      </c>
      <c r="S18" s="912" t="n">
        <f aca="false">IF(ISERROR(R18/Q18),"",R18/Q18)</f>
        <v>0.7398</v>
      </c>
      <c r="T18" s="906" t="n">
        <f aca="false">IF(ISERROR($D18/12),"",$D18/12)</f>
        <v>1666.66666666667</v>
      </c>
      <c r="U18" s="907" t="n">
        <v>1365</v>
      </c>
      <c r="V18" s="912" t="n">
        <f aca="false">IF(ISERROR(U18/T18),"",U18/T18)</f>
        <v>0.819</v>
      </c>
      <c r="W18" s="906" t="n">
        <f aca="false">IF(ISERROR($D18/12),"",$D18/12)</f>
        <v>1666.66666666667</v>
      </c>
      <c r="X18" s="907" t="n">
        <v>1260</v>
      </c>
      <c r="Y18" s="913" t="n">
        <f aca="false">IF(ISERROR(X18/W18),"",X18/W18)</f>
        <v>0.756</v>
      </c>
      <c r="Z18" s="909" t="n">
        <f aca="false">SUM(Q18,T18,W18)</f>
        <v>5000</v>
      </c>
      <c r="AA18" s="920" t="n">
        <f aca="false">SUM(R18,U18,X18)</f>
        <v>3858</v>
      </c>
      <c r="AB18" s="911" t="n">
        <f aca="false">IF(ISERROR(AA18/Z18),"",AA18/Z18)</f>
        <v>0.7716</v>
      </c>
      <c r="AC18" s="903" t="n">
        <f aca="false">IF(ISERROR($D18/12),"",$D18/12)</f>
        <v>1666.66666666667</v>
      </c>
      <c r="AD18" s="907"/>
      <c r="AE18" s="912" t="n">
        <f aca="false">IF(ISERROR(AD18/AC18),"",AD18/AC18)</f>
        <v>0</v>
      </c>
      <c r="AF18" s="906" t="n">
        <f aca="false">IF(ISERROR($D18/12),"",$D18/12)</f>
        <v>1666.66666666667</v>
      </c>
      <c r="AG18" s="914"/>
      <c r="AH18" s="912" t="n">
        <f aca="false">IF(ISERROR(AG18/AF18),"",AG18/AF18)</f>
        <v>0</v>
      </c>
      <c r="AI18" s="906" t="n">
        <f aca="false">IF(ISERROR($D18/12),"",$D18/12)</f>
        <v>1666.66666666667</v>
      </c>
      <c r="AJ18" s="907"/>
      <c r="AK18" s="913" t="n">
        <f aca="false">IF(ISERROR(AJ18/AI18),"",AJ18/AI18)</f>
        <v>0</v>
      </c>
      <c r="AL18" s="915" t="n">
        <f aca="false">SUM(AC18,AF18,AI18)</f>
        <v>5000</v>
      </c>
      <c r="AM18" s="920" t="n">
        <f aca="false">SUM(AD18,AG18,AJ18)</f>
        <v>0</v>
      </c>
      <c r="AN18" s="911" t="n">
        <f aca="false">IF(ISERROR(AM18/AL18),"",AM18/AL18)</f>
        <v>0</v>
      </c>
      <c r="AO18" s="903" t="n">
        <f aca="false">IF(ISERROR($D18/12),"",$D18/12)</f>
        <v>1666.66666666667</v>
      </c>
      <c r="AP18" s="907"/>
      <c r="AQ18" s="912" t="n">
        <f aca="false">IF(ISERROR(AP18/AO18),"",AP18/AO18)</f>
        <v>0</v>
      </c>
      <c r="AR18" s="906" t="n">
        <f aca="false">IF(ISERROR($D18/12),"",$D18/12)</f>
        <v>1666.66666666667</v>
      </c>
      <c r="AS18" s="907"/>
      <c r="AT18" s="912" t="n">
        <f aca="false">IF(ISERROR(AS18/AR18),"",AS18/AR18)</f>
        <v>0</v>
      </c>
      <c r="AU18" s="906" t="n">
        <f aca="false">IF(ISERROR($D18/12),"",$D18/12)</f>
        <v>1666.66666666667</v>
      </c>
      <c r="AV18" s="914"/>
      <c r="AW18" s="913" t="n">
        <f aca="false">IF(ISERROR(AV18/AU18),"",AV18/AU18)</f>
        <v>0</v>
      </c>
      <c r="AX18" s="909" t="n">
        <f aca="false">SUM(AO18,AR18,AU18)</f>
        <v>5000</v>
      </c>
      <c r="AY18" s="920" t="n">
        <f aca="false">SUM(AP18,AS18,AV18)</f>
        <v>0</v>
      </c>
      <c r="AZ18" s="911" t="n">
        <f aca="false">IF(ISERROR(AY18/AX18),"",AY18/AX18)</f>
        <v>0</v>
      </c>
      <c r="BA18" s="916" t="n">
        <f aca="false">D18</f>
        <v>20000</v>
      </c>
      <c r="BB18" s="917" t="n">
        <f aca="false">SUM(F18,I18,L18,R18,U18,X18,AD18,AG18,AJ18,AP18,AS18,AV18)</f>
        <v>7809</v>
      </c>
      <c r="BC18" s="918" t="n">
        <f aca="false">IF(ISERROR(BB18/BA18),"",BB18/BA18)</f>
        <v>0.39045</v>
      </c>
      <c r="BD18" s="919"/>
      <c r="BE18" s="919"/>
      <c r="BF18" s="919"/>
    </row>
    <row collapsed="false" customFormat="false" customHeight="false" hidden="false" ht="12.8" outlineLevel="0" r="19">
      <c r="A19" s="922"/>
      <c r="B19" s="924" t="str">
        <f aca="false">17_Prog_Produc_2011!B26</f>
        <v>Tratamientos de Hematología</v>
      </c>
      <c r="C19" s="923" t="s">
        <v>822</v>
      </c>
      <c r="D19" s="921" t="n">
        <f aca="false">17_Prog_Produc_2011!G26</f>
        <v>350</v>
      </c>
      <c r="E19" s="903" t="n">
        <f aca="false">IF(ISERROR($D19/12),"",$D19/12)</f>
        <v>29.1666666666667</v>
      </c>
      <c r="F19" s="907" t="n">
        <v>30</v>
      </c>
      <c r="G19" s="905" t="n">
        <f aca="false">IF(ISERROR(F19/E19),"",F19/E19)</f>
        <v>1.02857142857143</v>
      </c>
      <c r="H19" s="906" t="n">
        <f aca="false">IF(ISERROR($D19/12),"",$D19/12)</f>
        <v>29.1666666666667</v>
      </c>
      <c r="I19" s="907" t="n">
        <v>37</v>
      </c>
      <c r="J19" s="905" t="n">
        <f aca="false">IF(ISERROR(I19/H19),"",I19/H19)</f>
        <v>1.26857142857143</v>
      </c>
      <c r="K19" s="906" t="n">
        <f aca="false">IF(ISERROR($D19/12),"",$D19/12)</f>
        <v>29.1666666666667</v>
      </c>
      <c r="L19" s="907" t="n">
        <v>36</v>
      </c>
      <c r="M19" s="908" t="n">
        <f aca="false">IF(ISERROR(L19/K19),"",L19/K19)</f>
        <v>1.23428571428571</v>
      </c>
      <c r="N19" s="909" t="n">
        <f aca="false">SUM(E19,H19,K19)</f>
        <v>87.5</v>
      </c>
      <c r="O19" s="920" t="n">
        <f aca="false">SUM(F19,I19,L19)</f>
        <v>103</v>
      </c>
      <c r="P19" s="911" t="n">
        <f aca="false">IF(ISERROR(O19/N19),"",O19/N19)</f>
        <v>1.17714285714286</v>
      </c>
      <c r="Q19" s="903" t="n">
        <f aca="false">IF(ISERROR($D19/12),"",$D19/12)</f>
        <v>29.1666666666667</v>
      </c>
      <c r="R19" s="907" t="n">
        <v>52</v>
      </c>
      <c r="S19" s="912" t="n">
        <f aca="false">IF(ISERROR(R19/Q19),"",R19/Q19)</f>
        <v>1.78285714285714</v>
      </c>
      <c r="T19" s="906" t="n">
        <f aca="false">IF(ISERROR($D19/12),"",$D19/12)</f>
        <v>29.1666666666667</v>
      </c>
      <c r="U19" s="907" t="n">
        <v>64</v>
      </c>
      <c r="V19" s="912" t="n">
        <f aca="false">IF(ISERROR(U19/T19),"",U19/T19)</f>
        <v>2.19428571428571</v>
      </c>
      <c r="W19" s="906" t="n">
        <f aca="false">IF(ISERROR($D19/12),"",$D19/12)</f>
        <v>29.1666666666667</v>
      </c>
      <c r="X19" s="907" t="n">
        <v>117</v>
      </c>
      <c r="Y19" s="913" t="n">
        <f aca="false">IF(ISERROR(X19/W19),"",X19/W19)</f>
        <v>4.01142857142857</v>
      </c>
      <c r="Z19" s="909" t="n">
        <f aca="false">SUM(Q19,T19,W19)</f>
        <v>87.5</v>
      </c>
      <c r="AA19" s="920" t="n">
        <f aca="false">SUM(R19,U19,X19)</f>
        <v>233</v>
      </c>
      <c r="AB19" s="911" t="n">
        <f aca="false">IF(ISERROR(AA19/Z19),"",AA19/Z19)</f>
        <v>2.66285714285714</v>
      </c>
      <c r="AC19" s="903" t="n">
        <f aca="false">IF(ISERROR($D19/12),"",$D19/12)</f>
        <v>29.1666666666667</v>
      </c>
      <c r="AD19" s="907"/>
      <c r="AE19" s="912" t="n">
        <f aca="false">IF(ISERROR(AD19/AC19),"",AD19/AC19)</f>
        <v>0</v>
      </c>
      <c r="AF19" s="906" t="n">
        <f aca="false">IF(ISERROR($D19/12),"",$D19/12)</f>
        <v>29.1666666666667</v>
      </c>
      <c r="AG19" s="914"/>
      <c r="AH19" s="912" t="n">
        <f aca="false">IF(ISERROR(AG19/AF19),"",AG19/AF19)</f>
        <v>0</v>
      </c>
      <c r="AI19" s="906" t="n">
        <f aca="false">IF(ISERROR($D19/12),"",$D19/12)</f>
        <v>29.1666666666667</v>
      </c>
      <c r="AJ19" s="907"/>
      <c r="AK19" s="913" t="n">
        <f aca="false">IF(ISERROR(AJ19/AI19),"",AJ19/AI19)</f>
        <v>0</v>
      </c>
      <c r="AL19" s="915" t="n">
        <f aca="false">SUM(AC19,AF19,AI19)</f>
        <v>87.5</v>
      </c>
      <c r="AM19" s="920" t="n">
        <f aca="false">SUM(AD19,AG19,AJ19)</f>
        <v>0</v>
      </c>
      <c r="AN19" s="911" t="n">
        <f aca="false">IF(ISERROR(AM19/AL19),"",AM19/AL19)</f>
        <v>0</v>
      </c>
      <c r="AO19" s="903" t="n">
        <f aca="false">IF(ISERROR($D19/12),"",$D19/12)</f>
        <v>29.1666666666667</v>
      </c>
      <c r="AP19" s="907"/>
      <c r="AQ19" s="912" t="n">
        <f aca="false">IF(ISERROR(AP19/AO19),"",AP19/AO19)</f>
        <v>0</v>
      </c>
      <c r="AR19" s="906" t="n">
        <f aca="false">IF(ISERROR($D19/12),"",$D19/12)</f>
        <v>29.1666666666667</v>
      </c>
      <c r="AS19" s="907"/>
      <c r="AT19" s="912" t="n">
        <f aca="false">IF(ISERROR(AS19/AR19),"",AS19/AR19)</f>
        <v>0</v>
      </c>
      <c r="AU19" s="906" t="n">
        <f aca="false">IF(ISERROR($D19/12),"",$D19/12)</f>
        <v>29.1666666666667</v>
      </c>
      <c r="AV19" s="914"/>
      <c r="AW19" s="913" t="n">
        <f aca="false">IF(ISERROR(AV19/AU19),"",AV19/AU19)</f>
        <v>0</v>
      </c>
      <c r="AX19" s="909" t="n">
        <f aca="false">SUM(AO19,AR19,AU19)</f>
        <v>87.5</v>
      </c>
      <c r="AY19" s="920" t="n">
        <f aca="false">SUM(AP19,AS19,AV19)</f>
        <v>0</v>
      </c>
      <c r="AZ19" s="911" t="n">
        <f aca="false">IF(ISERROR(AY19/AX19),"",AY19/AX19)</f>
        <v>0</v>
      </c>
      <c r="BA19" s="916" t="n">
        <f aca="false">D19</f>
        <v>350</v>
      </c>
      <c r="BB19" s="917" t="n">
        <f aca="false">SUM(F19,I19,L19,R19,U19,X19,AD19,AG19,AJ19,AP19,AS19,AV19)</f>
        <v>336</v>
      </c>
      <c r="BC19" s="918" t="n">
        <f aca="false">IF(ISERROR(BB19/BA19),"",BB19/BA19)</f>
        <v>0.96</v>
      </c>
      <c r="BD19" s="919"/>
      <c r="BE19" s="919"/>
      <c r="BF19" s="919"/>
    </row>
    <row collapsed="false" customFormat="false" customHeight="false" hidden="false" ht="12.8" outlineLevel="0" r="20">
      <c r="A20" s="922"/>
      <c r="B20" s="924" t="str">
        <f aca="false">17_Prog_Produc_2011!B27</f>
        <v>Tratamientos de Oftalmología</v>
      </c>
      <c r="C20" s="923" t="s">
        <v>822</v>
      </c>
      <c r="D20" s="921" t="n">
        <f aca="false">17_Prog_Produc_2011!G27</f>
        <v>9500</v>
      </c>
      <c r="E20" s="903" t="n">
        <f aca="false">IF(ISERROR($D20/12),"",$D20/12)</f>
        <v>791.666666666667</v>
      </c>
      <c r="F20" s="907" t="n">
        <v>798</v>
      </c>
      <c r="G20" s="905" t="n">
        <f aca="false">IF(ISERROR(F20/E20),"",F20/E20)</f>
        <v>1.008</v>
      </c>
      <c r="H20" s="906" t="n">
        <f aca="false">IF(ISERROR($D20/12),"",$D20/12)</f>
        <v>791.666666666667</v>
      </c>
      <c r="I20" s="907" t="n">
        <v>852</v>
      </c>
      <c r="J20" s="905" t="n">
        <f aca="false">IF(ISERROR(I20/H20),"",I20/H20)</f>
        <v>1.07621052631579</v>
      </c>
      <c r="K20" s="906" t="n">
        <f aca="false">IF(ISERROR($D20/12),"",$D20/12)</f>
        <v>791.666666666667</v>
      </c>
      <c r="L20" s="907" t="n">
        <v>772</v>
      </c>
      <c r="M20" s="908" t="n">
        <f aca="false">IF(ISERROR(L20/K20),"",L20/K20)</f>
        <v>0.975157894736842</v>
      </c>
      <c r="N20" s="909" t="n">
        <f aca="false">SUM(E20,H20,K20)</f>
        <v>2375</v>
      </c>
      <c r="O20" s="920" t="n">
        <f aca="false">SUM(F20,I20,L20)</f>
        <v>2422</v>
      </c>
      <c r="P20" s="911" t="n">
        <f aca="false">IF(ISERROR(O20/N20),"",O20/N20)</f>
        <v>1.01978947368421</v>
      </c>
      <c r="Q20" s="903" t="n">
        <f aca="false">IF(ISERROR($D20/12),"",$D20/12)</f>
        <v>791.666666666667</v>
      </c>
      <c r="R20" s="907" t="n">
        <v>7</v>
      </c>
      <c r="S20" s="912" t="n">
        <f aca="false">IF(ISERROR(R20/Q20),"",R20/Q20)</f>
        <v>0.0088421052631579</v>
      </c>
      <c r="T20" s="906" t="n">
        <f aca="false">IF(ISERROR($D20/12),"",$D20/12)</f>
        <v>791.666666666667</v>
      </c>
      <c r="U20" s="907" t="n">
        <v>13</v>
      </c>
      <c r="V20" s="912" t="n">
        <f aca="false">IF(ISERROR(U20/T20),"",U20/T20)</f>
        <v>0.0164210526315789</v>
      </c>
      <c r="W20" s="906" t="n">
        <f aca="false">IF(ISERROR($D20/12),"",$D20/12)</f>
        <v>791.666666666667</v>
      </c>
      <c r="X20" s="907" t="n">
        <v>17</v>
      </c>
      <c r="Y20" s="913" t="n">
        <f aca="false">IF(ISERROR(X20/W20),"",X20/W20)</f>
        <v>0.0214736842105263</v>
      </c>
      <c r="Z20" s="909" t="n">
        <f aca="false">SUM(Q20,T20,W20)</f>
        <v>2375</v>
      </c>
      <c r="AA20" s="920" t="n">
        <f aca="false">SUM(R20,U20,X20)</f>
        <v>37</v>
      </c>
      <c r="AB20" s="911" t="n">
        <f aca="false">IF(ISERROR(AA20/Z20),"",AA20/Z20)</f>
        <v>0.0155789473684211</v>
      </c>
      <c r="AC20" s="903" t="n">
        <f aca="false">IF(ISERROR($D20/12),"",$D20/12)</f>
        <v>791.666666666667</v>
      </c>
      <c r="AD20" s="907"/>
      <c r="AE20" s="912" t="n">
        <f aca="false">IF(ISERROR(AD20/AC20),"",AD20/AC20)</f>
        <v>0</v>
      </c>
      <c r="AF20" s="906" t="n">
        <f aca="false">IF(ISERROR($D20/12),"",$D20/12)</f>
        <v>791.666666666667</v>
      </c>
      <c r="AG20" s="914"/>
      <c r="AH20" s="912" t="n">
        <f aca="false">IF(ISERROR(AG20/AF20),"",AG20/AF20)</f>
        <v>0</v>
      </c>
      <c r="AI20" s="906" t="n">
        <f aca="false">IF(ISERROR($D20/12),"",$D20/12)</f>
        <v>791.666666666667</v>
      </c>
      <c r="AJ20" s="907"/>
      <c r="AK20" s="913" t="n">
        <f aca="false">IF(ISERROR(AJ20/AI20),"",AJ20/AI20)</f>
        <v>0</v>
      </c>
      <c r="AL20" s="915" t="n">
        <f aca="false">SUM(AC20,AF20,AI20)</f>
        <v>2375</v>
      </c>
      <c r="AM20" s="920" t="n">
        <f aca="false">SUM(AD20,AG20,AJ20)</f>
        <v>0</v>
      </c>
      <c r="AN20" s="911" t="n">
        <f aca="false">IF(ISERROR(AM20/AL20),"",AM20/AL20)</f>
        <v>0</v>
      </c>
      <c r="AO20" s="903" t="n">
        <f aca="false">IF(ISERROR($D20/12),"",$D20/12)</f>
        <v>791.666666666667</v>
      </c>
      <c r="AP20" s="907"/>
      <c r="AQ20" s="912" t="n">
        <f aca="false">IF(ISERROR(AP20/AO20),"",AP20/AO20)</f>
        <v>0</v>
      </c>
      <c r="AR20" s="906" t="n">
        <f aca="false">IF(ISERROR($D20/12),"",$D20/12)</f>
        <v>791.666666666667</v>
      </c>
      <c r="AS20" s="907"/>
      <c r="AT20" s="912" t="n">
        <f aca="false">IF(ISERROR(AS20/AR20),"",AS20/AR20)</f>
        <v>0</v>
      </c>
      <c r="AU20" s="906" t="n">
        <f aca="false">IF(ISERROR($D20/12),"",$D20/12)</f>
        <v>791.666666666667</v>
      </c>
      <c r="AV20" s="914"/>
      <c r="AW20" s="913" t="n">
        <f aca="false">IF(ISERROR(AV20/AU20),"",AV20/AU20)</f>
        <v>0</v>
      </c>
      <c r="AX20" s="909" t="n">
        <f aca="false">SUM(AO20,AR20,AU20)</f>
        <v>2375</v>
      </c>
      <c r="AY20" s="920" t="n">
        <f aca="false">SUM(AP20,AS20,AV20)</f>
        <v>0</v>
      </c>
      <c r="AZ20" s="911" t="n">
        <f aca="false">IF(ISERROR(AY20/AX20),"",AY20/AX20)</f>
        <v>0</v>
      </c>
      <c r="BA20" s="916" t="n">
        <f aca="false">D20</f>
        <v>9500</v>
      </c>
      <c r="BB20" s="917" t="n">
        <f aca="false">SUM(F20,I20,L20,R20,U20,X20,AD20,AG20,AJ20,AP20,AS20,AV20)</f>
        <v>2459</v>
      </c>
      <c r="BC20" s="918" t="n">
        <f aca="false">IF(ISERROR(BB20/BA20),"",BB20/BA20)</f>
        <v>0.258842105263158</v>
      </c>
      <c r="BD20" s="919"/>
      <c r="BE20" s="919"/>
      <c r="BF20" s="919"/>
    </row>
    <row collapsed="false" customFormat="false" customHeight="false" hidden="false" ht="12.8" outlineLevel="0" r="21">
      <c r="A21" s="922"/>
      <c r="B21" s="924" t="str">
        <f aca="false">17_Prog_Produc_2011!B28</f>
        <v>Cirugía Ambulatoria</v>
      </c>
      <c r="C21" s="923" t="s">
        <v>822</v>
      </c>
      <c r="D21" s="921" t="n">
        <f aca="false">17_Prog_Produc_2011!G28</f>
        <v>2430</v>
      </c>
      <c r="E21" s="903" t="n">
        <f aca="false">IF(ISERROR($D21/12),"",$D21/12)</f>
        <v>202.5</v>
      </c>
      <c r="F21" s="907" t="n">
        <v>228</v>
      </c>
      <c r="G21" s="905" t="n">
        <f aca="false">IF(ISERROR(F21/E21),"",F21/E21)</f>
        <v>1.12592592592593</v>
      </c>
      <c r="H21" s="906" t="n">
        <f aca="false">IF(ISERROR($D21/12),"",$D21/12)</f>
        <v>202.5</v>
      </c>
      <c r="I21" s="907" t="n">
        <v>277</v>
      </c>
      <c r="J21" s="905" t="n">
        <f aca="false">IF(ISERROR(I21/H21),"",I21/H21)</f>
        <v>1.3679012345679</v>
      </c>
      <c r="K21" s="906" t="n">
        <f aca="false">IF(ISERROR($D21/12),"",$D21/12)</f>
        <v>202.5</v>
      </c>
      <c r="L21" s="907" t="n">
        <v>246</v>
      </c>
      <c r="M21" s="908" t="n">
        <f aca="false">IF(ISERROR(L21/K21),"",L21/K21)</f>
        <v>1.21481481481481</v>
      </c>
      <c r="N21" s="909" t="n">
        <f aca="false">SUM(E21,H21,K21)</f>
        <v>607.5</v>
      </c>
      <c r="O21" s="920" t="n">
        <f aca="false">SUM(F21,I21,L21)</f>
        <v>751</v>
      </c>
      <c r="P21" s="911" t="n">
        <f aca="false">IF(ISERROR(O21/N21),"",O21/N21)</f>
        <v>1.23621399176955</v>
      </c>
      <c r="Q21" s="903" t="n">
        <f aca="false">IF(ISERROR($D21/12),"",$D21/12)</f>
        <v>202.5</v>
      </c>
      <c r="R21" s="907" t="n">
        <v>179</v>
      </c>
      <c r="S21" s="912" t="n">
        <f aca="false">IF(ISERROR(R21/Q21),"",R21/Q21)</f>
        <v>0.883950617283951</v>
      </c>
      <c r="T21" s="906" t="n">
        <f aca="false">IF(ISERROR($D21/12),"",$D21/12)</f>
        <v>202.5</v>
      </c>
      <c r="U21" s="907" t="n">
        <v>250</v>
      </c>
      <c r="V21" s="912" t="n">
        <f aca="false">IF(ISERROR(U21/T21),"",U21/T21)</f>
        <v>1.23456790123457</v>
      </c>
      <c r="W21" s="906" t="n">
        <f aca="false">IF(ISERROR($D21/12),"",$D21/12)</f>
        <v>202.5</v>
      </c>
      <c r="X21" s="907" t="n">
        <v>260</v>
      </c>
      <c r="Y21" s="913" t="n">
        <f aca="false">IF(ISERROR(X21/W21),"",X21/W21)</f>
        <v>1.28395061728395</v>
      </c>
      <c r="Z21" s="909" t="n">
        <f aca="false">SUM(Q21,T21,W21)</f>
        <v>607.5</v>
      </c>
      <c r="AA21" s="920" t="n">
        <f aca="false">SUM(R21,U21,X21)</f>
        <v>689</v>
      </c>
      <c r="AB21" s="911" t="n">
        <f aca="false">IF(ISERROR(AA21/Z21),"",AA21/Z21)</f>
        <v>1.13415637860082</v>
      </c>
      <c r="AC21" s="903" t="n">
        <f aca="false">IF(ISERROR($D21/12),"",$D21/12)</f>
        <v>202.5</v>
      </c>
      <c r="AD21" s="907"/>
      <c r="AE21" s="912" t="n">
        <f aca="false">IF(ISERROR(AD21/AC21),"",AD21/AC21)</f>
        <v>0</v>
      </c>
      <c r="AF21" s="906" t="n">
        <f aca="false">IF(ISERROR($D21/12),"",$D21/12)</f>
        <v>202.5</v>
      </c>
      <c r="AG21" s="914"/>
      <c r="AH21" s="912" t="n">
        <f aca="false">IF(ISERROR(AG21/AF21),"",AG21/AF21)</f>
        <v>0</v>
      </c>
      <c r="AI21" s="906" t="n">
        <f aca="false">IF(ISERROR($D21/12),"",$D21/12)</f>
        <v>202.5</v>
      </c>
      <c r="AJ21" s="907"/>
      <c r="AK21" s="913" t="n">
        <f aca="false">IF(ISERROR(AJ21/AI21),"",AJ21/AI21)</f>
        <v>0</v>
      </c>
      <c r="AL21" s="915" t="n">
        <f aca="false">SUM(AC21,AF21,AI21)</f>
        <v>607.5</v>
      </c>
      <c r="AM21" s="920" t="n">
        <f aca="false">SUM(AD21,AG21,AJ21)</f>
        <v>0</v>
      </c>
      <c r="AN21" s="911" t="n">
        <f aca="false">IF(ISERROR(AM21/AL21),"",AM21/AL21)</f>
        <v>0</v>
      </c>
      <c r="AO21" s="903" t="n">
        <f aca="false">IF(ISERROR($D21/12),"",$D21/12)</f>
        <v>202.5</v>
      </c>
      <c r="AP21" s="907"/>
      <c r="AQ21" s="912" t="n">
        <f aca="false">IF(ISERROR(AP21/AO21),"",AP21/AO21)</f>
        <v>0</v>
      </c>
      <c r="AR21" s="906" t="n">
        <f aca="false">IF(ISERROR($D21/12),"",$D21/12)</f>
        <v>202.5</v>
      </c>
      <c r="AS21" s="907"/>
      <c r="AT21" s="912" t="n">
        <f aca="false">IF(ISERROR(AS21/AR21),"",AS21/AR21)</f>
        <v>0</v>
      </c>
      <c r="AU21" s="906" t="n">
        <f aca="false">IF(ISERROR($D21/12),"",$D21/12)</f>
        <v>202.5</v>
      </c>
      <c r="AV21" s="914"/>
      <c r="AW21" s="913" t="n">
        <f aca="false">IF(ISERROR(AV21/AU21),"",AV21/AU21)</f>
        <v>0</v>
      </c>
      <c r="AX21" s="909" t="n">
        <f aca="false">SUM(AO21,AR21,AU21)</f>
        <v>607.5</v>
      </c>
      <c r="AY21" s="920" t="n">
        <f aca="false">SUM(AP21,AS21,AV21)</f>
        <v>0</v>
      </c>
      <c r="AZ21" s="911" t="n">
        <f aca="false">IF(ISERROR(AY21/AX21),"",AY21/AX21)</f>
        <v>0</v>
      </c>
      <c r="BA21" s="916" t="n">
        <f aca="false">D21</f>
        <v>2430</v>
      </c>
      <c r="BB21" s="917" t="n">
        <f aca="false">SUM(F21,I21,L21,R21,U21,X21,AD21,AG21,AJ21,AP21,AS21,AV21)</f>
        <v>1440</v>
      </c>
      <c r="BC21" s="918" t="n">
        <f aca="false">IF(ISERROR(BB21/BA21),"",BB21/BA21)</f>
        <v>0.592592592592593</v>
      </c>
      <c r="BD21" s="919"/>
      <c r="BE21" s="919"/>
      <c r="BF21" s="919"/>
    </row>
    <row collapsed="false" customFormat="false" customHeight="false" hidden="false" ht="12.8" outlineLevel="0" r="22">
      <c r="A22" s="922"/>
      <c r="B22" s="924" t="str">
        <f aca="false">17_Prog_Produc_2011!B29</f>
        <v>Observación </v>
      </c>
      <c r="C22" s="923" t="s">
        <v>822</v>
      </c>
      <c r="D22" s="921" t="n">
        <f aca="false">17_Prog_Produc_2011!G29</f>
        <v>7500</v>
      </c>
      <c r="E22" s="903" t="n">
        <f aca="false">IF(ISERROR($D22/12),"",$D22/12)</f>
        <v>625</v>
      </c>
      <c r="F22" s="907" t="n">
        <v>669</v>
      </c>
      <c r="G22" s="905" t="n">
        <f aca="false">IF(ISERROR(F22/E22),"",F22/E22)</f>
        <v>1.0704</v>
      </c>
      <c r="H22" s="906" t="n">
        <f aca="false">IF(ISERROR($D22/12),"",$D22/12)</f>
        <v>625</v>
      </c>
      <c r="I22" s="907" t="n">
        <v>569</v>
      </c>
      <c r="J22" s="905" t="n">
        <f aca="false">IF(ISERROR(I22/H22),"",I22/H22)</f>
        <v>0.9104</v>
      </c>
      <c r="K22" s="906" t="n">
        <f aca="false">IF(ISERROR($D22/12),"",$D22/12)</f>
        <v>625</v>
      </c>
      <c r="L22" s="907" t="n">
        <v>631</v>
      </c>
      <c r="M22" s="908" t="n">
        <f aca="false">IF(ISERROR(L22/K22),"",L22/K22)</f>
        <v>1.0096</v>
      </c>
      <c r="N22" s="909" t="n">
        <f aca="false">SUM(E22,H22,K22)</f>
        <v>1875</v>
      </c>
      <c r="O22" s="920" t="n">
        <f aca="false">SUM(F22,I22,L22)</f>
        <v>1869</v>
      </c>
      <c r="P22" s="911" t="n">
        <f aca="false">IF(ISERROR(O22/N22),"",O22/N22)</f>
        <v>0.9968</v>
      </c>
      <c r="Q22" s="903" t="n">
        <f aca="false">IF(ISERROR($D22/12),"",$D22/12)</f>
        <v>625</v>
      </c>
      <c r="R22" s="907" t="n">
        <v>598</v>
      </c>
      <c r="S22" s="912" t="n">
        <f aca="false">IF(ISERROR(R22/Q22),"",R22/Q22)</f>
        <v>0.9568</v>
      </c>
      <c r="T22" s="906" t="n">
        <f aca="false">IF(ISERROR($D22/12),"",$D22/12)</f>
        <v>625</v>
      </c>
      <c r="U22" s="907" t="n">
        <v>616</v>
      </c>
      <c r="V22" s="912" t="n">
        <f aca="false">IF(ISERROR(U22/T22),"",U22/T22)</f>
        <v>0.9856</v>
      </c>
      <c r="W22" s="906" t="n">
        <f aca="false">IF(ISERROR($D22/12),"",$D22/12)</f>
        <v>625</v>
      </c>
      <c r="X22" s="907" t="n">
        <v>633</v>
      </c>
      <c r="Y22" s="913" t="n">
        <f aca="false">IF(ISERROR(X22/W22),"",X22/W22)</f>
        <v>1.0128</v>
      </c>
      <c r="Z22" s="909" t="n">
        <f aca="false">SUM(Q22,T22,W22)</f>
        <v>1875</v>
      </c>
      <c r="AA22" s="920" t="n">
        <f aca="false">SUM(R22,U22,X22)</f>
        <v>1847</v>
      </c>
      <c r="AB22" s="911" t="n">
        <f aca="false">IF(ISERROR(AA22/Z22),"",AA22/Z22)</f>
        <v>0.985066666666667</v>
      </c>
      <c r="AC22" s="903" t="n">
        <f aca="false">IF(ISERROR($D22/12),"",$D22/12)</f>
        <v>625</v>
      </c>
      <c r="AD22" s="907"/>
      <c r="AE22" s="912" t="n">
        <f aca="false">IF(ISERROR(AD22/AC22),"",AD22/AC22)</f>
        <v>0</v>
      </c>
      <c r="AF22" s="906" t="n">
        <f aca="false">IF(ISERROR($D22/12),"",$D22/12)</f>
        <v>625</v>
      </c>
      <c r="AG22" s="914"/>
      <c r="AH22" s="912" t="n">
        <f aca="false">IF(ISERROR(AG22/AF22),"",AG22/AF22)</f>
        <v>0</v>
      </c>
      <c r="AI22" s="906" t="n">
        <f aca="false">IF(ISERROR($D22/12),"",$D22/12)</f>
        <v>625</v>
      </c>
      <c r="AJ22" s="907"/>
      <c r="AK22" s="913" t="n">
        <f aca="false">IF(ISERROR(AJ22/AI22),"",AJ22/AI22)</f>
        <v>0</v>
      </c>
      <c r="AL22" s="915" t="n">
        <f aca="false">SUM(AC22,AF22,AI22)</f>
        <v>1875</v>
      </c>
      <c r="AM22" s="920" t="n">
        <f aca="false">SUM(AD22,AG22,AJ22)</f>
        <v>0</v>
      </c>
      <c r="AN22" s="911" t="n">
        <f aca="false">IF(ISERROR(AM22/AL22),"",AM22/AL22)</f>
        <v>0</v>
      </c>
      <c r="AO22" s="903" t="n">
        <f aca="false">IF(ISERROR($D22/12),"",$D22/12)</f>
        <v>625</v>
      </c>
      <c r="AP22" s="907"/>
      <c r="AQ22" s="912" t="n">
        <f aca="false">IF(ISERROR(AP22/AO22),"",AP22/AO22)</f>
        <v>0</v>
      </c>
      <c r="AR22" s="906" t="n">
        <f aca="false">IF(ISERROR($D22/12),"",$D22/12)</f>
        <v>625</v>
      </c>
      <c r="AS22" s="907"/>
      <c r="AT22" s="912" t="n">
        <f aca="false">IF(ISERROR(AS22/AR22),"",AS22/AR22)</f>
        <v>0</v>
      </c>
      <c r="AU22" s="906" t="n">
        <f aca="false">IF(ISERROR($D22/12),"",$D22/12)</f>
        <v>625</v>
      </c>
      <c r="AV22" s="914"/>
      <c r="AW22" s="913" t="n">
        <f aca="false">IF(ISERROR(AV22/AU22),"",AV22/AU22)</f>
        <v>0</v>
      </c>
      <c r="AX22" s="909" t="n">
        <f aca="false">SUM(AO22,AR22,AU22)</f>
        <v>1875</v>
      </c>
      <c r="AY22" s="920" t="n">
        <f aca="false">SUM(AP22,AS22,AV22)</f>
        <v>0</v>
      </c>
      <c r="AZ22" s="911" t="n">
        <f aca="false">IF(ISERROR(AY22/AX22),"",AY22/AX22)</f>
        <v>0</v>
      </c>
      <c r="BA22" s="916" t="n">
        <f aca="false">D22</f>
        <v>7500</v>
      </c>
      <c r="BB22" s="917" t="n">
        <f aca="false">SUM(F22,I22,L22,R22,U22,X22,AD22,AG22,AJ22,AP22,AS22,AV22)</f>
        <v>3716</v>
      </c>
      <c r="BC22" s="918" t="n">
        <f aca="false">IF(ISERROR(BB22/BA22),"",BB22/BA22)</f>
        <v>0.495466666666667</v>
      </c>
      <c r="BD22" s="919"/>
      <c r="BE22" s="919"/>
      <c r="BF22" s="919"/>
    </row>
    <row collapsed="false" customFormat="false" customHeight="false" hidden="false" ht="12.8" outlineLevel="0" r="23">
      <c r="A23" s="922"/>
      <c r="B23" s="924" t="str">
        <f aca="false">17_Prog_Produc_2011!B30</f>
        <v>Maxima urgencias</v>
      </c>
      <c r="C23" s="923" t="s">
        <v>822</v>
      </c>
      <c r="D23" s="921" t="n">
        <f aca="false">17_Prog_Produc_2011!G30</f>
        <v>2000</v>
      </c>
      <c r="E23" s="903" t="n">
        <f aca="false">IF(ISERROR($D23/12),"",$D23/12)</f>
        <v>166.666666666667</v>
      </c>
      <c r="F23" s="907" t="n">
        <v>155</v>
      </c>
      <c r="G23" s="905" t="n">
        <f aca="false">IF(ISERROR(F23/E23),"",F23/E23)</f>
        <v>0.93</v>
      </c>
      <c r="H23" s="906" t="n">
        <f aca="false">IF(ISERROR($D23/12),"",$D23/12)</f>
        <v>166.666666666667</v>
      </c>
      <c r="I23" s="907" t="n">
        <v>135</v>
      </c>
      <c r="J23" s="905" t="n">
        <f aca="false">IF(ISERROR(I23/H23),"",I23/H23)</f>
        <v>0.81</v>
      </c>
      <c r="K23" s="906" t="n">
        <f aca="false">IF(ISERROR($D23/12),"",$D23/12)</f>
        <v>166.666666666667</v>
      </c>
      <c r="L23" s="907" t="n">
        <v>161</v>
      </c>
      <c r="M23" s="908" t="n">
        <f aca="false">IF(ISERROR(L23/K23),"",L23/K23)</f>
        <v>0.966</v>
      </c>
      <c r="N23" s="909" t="n">
        <f aca="false">SUM(E23,H23,K23)</f>
        <v>500</v>
      </c>
      <c r="O23" s="920" t="n">
        <f aca="false">SUM(F23,I23,L23)</f>
        <v>451</v>
      </c>
      <c r="P23" s="911" t="n">
        <f aca="false">IF(ISERROR(O23/N23),"",O23/N23)</f>
        <v>0.902</v>
      </c>
      <c r="Q23" s="903" t="n">
        <f aca="false">IF(ISERROR($D23/12),"",$D23/12)</f>
        <v>166.666666666667</v>
      </c>
      <c r="R23" s="907" t="n">
        <v>151</v>
      </c>
      <c r="S23" s="912" t="n">
        <f aca="false">IF(ISERROR(R23/Q23),"",R23/Q23)</f>
        <v>0.906</v>
      </c>
      <c r="T23" s="906" t="n">
        <f aca="false">IF(ISERROR($D23/12),"",$D23/12)</f>
        <v>166.666666666667</v>
      </c>
      <c r="U23" s="907" t="n">
        <v>197</v>
      </c>
      <c r="V23" s="912" t="n">
        <f aca="false">IF(ISERROR(U23/T23),"",U23/T23)</f>
        <v>1.182</v>
      </c>
      <c r="W23" s="906" t="n">
        <f aca="false">IF(ISERROR($D23/12),"",$D23/12)</f>
        <v>166.666666666667</v>
      </c>
      <c r="X23" s="907" t="n">
        <v>175</v>
      </c>
      <c r="Y23" s="913" t="n">
        <f aca="false">IF(ISERROR(X23/W23),"",X23/W23)</f>
        <v>1.05</v>
      </c>
      <c r="Z23" s="909" t="n">
        <f aca="false">SUM(Q23,T23,W23)</f>
        <v>500</v>
      </c>
      <c r="AA23" s="920" t="n">
        <f aca="false">SUM(R23,U23,X23)</f>
        <v>523</v>
      </c>
      <c r="AB23" s="911" t="n">
        <f aca="false">IF(ISERROR(AA23/Z23),"",AA23/Z23)</f>
        <v>1.046</v>
      </c>
      <c r="AC23" s="903" t="n">
        <f aca="false">IF(ISERROR($D23/12),"",$D23/12)</f>
        <v>166.666666666667</v>
      </c>
      <c r="AD23" s="907"/>
      <c r="AE23" s="912" t="n">
        <f aca="false">IF(ISERROR(AD23/AC23),"",AD23/AC23)</f>
        <v>0</v>
      </c>
      <c r="AF23" s="906" t="n">
        <f aca="false">IF(ISERROR($D23/12),"",$D23/12)</f>
        <v>166.666666666667</v>
      </c>
      <c r="AG23" s="914"/>
      <c r="AH23" s="912" t="n">
        <f aca="false">IF(ISERROR(AG23/AF23),"",AG23/AF23)</f>
        <v>0</v>
      </c>
      <c r="AI23" s="906" t="n">
        <f aca="false">IF(ISERROR($D23/12),"",$D23/12)</f>
        <v>166.666666666667</v>
      </c>
      <c r="AJ23" s="907"/>
      <c r="AK23" s="913" t="n">
        <f aca="false">IF(ISERROR(AJ23/AI23),"",AJ23/AI23)</f>
        <v>0</v>
      </c>
      <c r="AL23" s="915" t="n">
        <f aca="false">SUM(AC23,AF23,AI23)</f>
        <v>500</v>
      </c>
      <c r="AM23" s="920" t="n">
        <f aca="false">SUM(AD23,AG23,AJ23)</f>
        <v>0</v>
      </c>
      <c r="AN23" s="911" t="n">
        <f aca="false">IF(ISERROR(AM23/AL23),"",AM23/AL23)</f>
        <v>0</v>
      </c>
      <c r="AO23" s="903" t="n">
        <f aca="false">IF(ISERROR($D23/12),"",$D23/12)</f>
        <v>166.666666666667</v>
      </c>
      <c r="AP23" s="907"/>
      <c r="AQ23" s="912" t="n">
        <f aca="false">IF(ISERROR(AP23/AO23),"",AP23/AO23)</f>
        <v>0</v>
      </c>
      <c r="AR23" s="906" t="n">
        <f aca="false">IF(ISERROR($D23/12),"",$D23/12)</f>
        <v>166.666666666667</v>
      </c>
      <c r="AS23" s="907"/>
      <c r="AT23" s="912" t="n">
        <f aca="false">IF(ISERROR(AS23/AR23),"",AS23/AR23)</f>
        <v>0</v>
      </c>
      <c r="AU23" s="906" t="n">
        <f aca="false">IF(ISERROR($D23/12),"",$D23/12)</f>
        <v>166.666666666667</v>
      </c>
      <c r="AV23" s="914"/>
      <c r="AW23" s="913" t="n">
        <f aca="false">IF(ISERROR(AV23/AU23),"",AV23/AU23)</f>
        <v>0</v>
      </c>
      <c r="AX23" s="909" t="n">
        <f aca="false">SUM(AO23,AR23,AU23)</f>
        <v>500</v>
      </c>
      <c r="AY23" s="920" t="n">
        <f aca="false">SUM(AP23,AS23,AV23)</f>
        <v>0</v>
      </c>
      <c r="AZ23" s="911" t="n">
        <f aca="false">IF(ISERROR(AY23/AX23),"",AY23/AX23)</f>
        <v>0</v>
      </c>
      <c r="BA23" s="916" t="n">
        <f aca="false">D23</f>
        <v>2000</v>
      </c>
      <c r="BB23" s="917" t="n">
        <f aca="false">SUM(F23,I23,L23,R23,U23,X23,AD23,AG23,AJ23,AP23,AS23,AV23)</f>
        <v>974</v>
      </c>
      <c r="BC23" s="918" t="n">
        <f aca="false">IF(ISERROR(BB23/BA23),"",BB23/BA23)</f>
        <v>0.487</v>
      </c>
      <c r="BD23" s="919"/>
      <c r="BE23" s="919"/>
      <c r="BF23" s="919"/>
    </row>
    <row collapsed="false" customFormat="false" customHeight="false" hidden="false" ht="12.8" outlineLevel="0" r="24">
      <c r="A24" s="922"/>
      <c r="B24" s="925" t="str">
        <f aca="false">17_Prog_Produc_2011!B31</f>
        <v>Servicios Hospitalarios </v>
      </c>
      <c r="C24" s="926"/>
      <c r="D24" s="927"/>
      <c r="E24" s="903"/>
      <c r="F24" s="906"/>
      <c r="G24" s="928"/>
      <c r="H24" s="906"/>
      <c r="I24" s="906"/>
      <c r="J24" s="928"/>
      <c r="K24" s="906"/>
      <c r="L24" s="906"/>
      <c r="M24" s="929"/>
      <c r="N24" s="915"/>
      <c r="O24" s="906"/>
      <c r="P24" s="930"/>
      <c r="Q24" s="903"/>
      <c r="R24" s="906"/>
      <c r="S24" s="931"/>
      <c r="T24" s="906"/>
      <c r="U24" s="906"/>
      <c r="V24" s="931"/>
      <c r="W24" s="906"/>
      <c r="X24" s="906"/>
      <c r="Y24" s="932"/>
      <c r="Z24" s="915"/>
      <c r="AA24" s="906"/>
      <c r="AB24" s="930"/>
      <c r="AC24" s="903"/>
      <c r="AD24" s="906"/>
      <c r="AE24" s="931"/>
      <c r="AF24" s="906"/>
      <c r="AG24" s="906"/>
      <c r="AH24" s="931"/>
      <c r="AI24" s="906"/>
      <c r="AJ24" s="906"/>
      <c r="AK24" s="932"/>
      <c r="AL24" s="915"/>
      <c r="AM24" s="906"/>
      <c r="AN24" s="930"/>
      <c r="AO24" s="903"/>
      <c r="AP24" s="906"/>
      <c r="AQ24" s="931"/>
      <c r="AR24" s="906"/>
      <c r="AS24" s="906"/>
      <c r="AT24" s="931"/>
      <c r="AU24" s="906"/>
      <c r="AV24" s="906"/>
      <c r="AW24" s="932"/>
      <c r="AX24" s="915"/>
      <c r="AY24" s="906"/>
      <c r="AZ24" s="930"/>
      <c r="BA24" s="903"/>
      <c r="BB24" s="906"/>
      <c r="BC24" s="933"/>
      <c r="BD24" s="919"/>
      <c r="BE24" s="919"/>
      <c r="BF24" s="919"/>
    </row>
    <row collapsed="false" customFormat="false" customHeight="false" hidden="false" ht="12.8" outlineLevel="0" r="25">
      <c r="A25" s="922"/>
      <c r="B25" s="900" t="str">
        <f aca="false">17_Prog_Produc_2011!B32</f>
        <v>Egresos</v>
      </c>
      <c r="C25" s="934"/>
      <c r="D25" s="935"/>
      <c r="E25" s="936"/>
      <c r="F25" s="937"/>
      <c r="G25" s="937"/>
      <c r="H25" s="937"/>
      <c r="I25" s="937"/>
      <c r="J25" s="937"/>
      <c r="K25" s="937"/>
      <c r="L25" s="937"/>
      <c r="M25" s="934"/>
      <c r="N25" s="938"/>
      <c r="O25" s="937"/>
      <c r="P25" s="939"/>
      <c r="Q25" s="936"/>
      <c r="R25" s="937"/>
      <c r="S25" s="937"/>
      <c r="T25" s="937"/>
      <c r="U25" s="937"/>
      <c r="V25" s="937"/>
      <c r="W25" s="937"/>
      <c r="X25" s="937"/>
      <c r="Y25" s="934"/>
      <c r="Z25" s="938"/>
      <c r="AA25" s="937"/>
      <c r="AB25" s="939"/>
      <c r="AC25" s="936"/>
      <c r="AD25" s="937"/>
      <c r="AE25" s="937"/>
      <c r="AF25" s="937"/>
      <c r="AG25" s="937"/>
      <c r="AH25" s="937"/>
      <c r="AI25" s="937"/>
      <c r="AJ25" s="937"/>
      <c r="AK25" s="934"/>
      <c r="AL25" s="938"/>
      <c r="AM25" s="937"/>
      <c r="AN25" s="939"/>
      <c r="AO25" s="936"/>
      <c r="AP25" s="937"/>
      <c r="AQ25" s="937"/>
      <c r="AR25" s="937"/>
      <c r="AS25" s="937"/>
      <c r="AT25" s="937"/>
      <c r="AU25" s="937"/>
      <c r="AV25" s="937"/>
      <c r="AW25" s="934"/>
      <c r="AX25" s="938"/>
      <c r="AY25" s="937"/>
      <c r="AZ25" s="939"/>
      <c r="BA25" s="936"/>
      <c r="BB25" s="937"/>
      <c r="BC25" s="940"/>
      <c r="BD25" s="919"/>
      <c r="BE25" s="919"/>
      <c r="BF25" s="919"/>
    </row>
    <row collapsed="false" customFormat="false" customHeight="false" hidden="false" ht="12.8" outlineLevel="0" r="26">
      <c r="A26" s="922"/>
      <c r="B26" s="924" t="str">
        <f aca="false">17_Prog_Produc_2011!B34</f>
        <v>Medicina Interna </v>
      </c>
      <c r="C26" s="923" t="s">
        <v>328</v>
      </c>
      <c r="D26" s="921" t="n">
        <f aca="false">17_Prog_Produc_2011!G34</f>
        <v>1131</v>
      </c>
      <c r="E26" s="903" t="n">
        <f aca="false">IF(ISERROR($D26/12),"",$D26/12)</f>
        <v>94.25</v>
      </c>
      <c r="F26" s="907" t="n">
        <v>72</v>
      </c>
      <c r="G26" s="905" t="n">
        <f aca="false">IF(ISERROR(F26/E26),"",F26/E26)</f>
        <v>0.763925729442971</v>
      </c>
      <c r="H26" s="906" t="n">
        <f aca="false">IF(ISERROR($D26/12),"",$D26/12)</f>
        <v>94.25</v>
      </c>
      <c r="I26" s="907" t="n">
        <v>89</v>
      </c>
      <c r="J26" s="905" t="n">
        <f aca="false">IF(ISERROR(I26/H26),"",I26/H26)</f>
        <v>0.944297082228117</v>
      </c>
      <c r="K26" s="906" t="n">
        <f aca="false">IF(ISERROR($D26/12),"",$D26/12)</f>
        <v>94.25</v>
      </c>
      <c r="L26" s="907" t="n">
        <v>93</v>
      </c>
      <c r="M26" s="908" t="n">
        <f aca="false">IF(ISERROR(L26/K26),"",L26/K26)</f>
        <v>0.986737400530504</v>
      </c>
      <c r="N26" s="909" t="n">
        <f aca="false">SUM(E26,H26,K26)</f>
        <v>282.75</v>
      </c>
      <c r="O26" s="920" t="n">
        <f aca="false">SUM(F26,I26,L26)</f>
        <v>254</v>
      </c>
      <c r="P26" s="911" t="n">
        <f aca="false">IF(ISERROR(O26/N26),"",O26/N26)</f>
        <v>0.898320070733864</v>
      </c>
      <c r="Q26" s="903" t="n">
        <f aca="false">IF(ISERROR($D26/12),"",$D26/12)</f>
        <v>94.25</v>
      </c>
      <c r="R26" s="907" t="n">
        <v>58</v>
      </c>
      <c r="S26" s="912" t="n">
        <f aca="false">IF(ISERROR(R26/Q26),"",R26/Q26)</f>
        <v>0.615384615384615</v>
      </c>
      <c r="T26" s="906" t="n">
        <f aca="false">IF(ISERROR($D26/12),"",$D26/12)</f>
        <v>94.25</v>
      </c>
      <c r="U26" s="907" t="n">
        <v>95</v>
      </c>
      <c r="V26" s="912" t="n">
        <f aca="false">IF(ISERROR(U26/T26),"",U26/T26)</f>
        <v>1.0079575596817</v>
      </c>
      <c r="W26" s="906" t="n">
        <f aca="false">IF(ISERROR($D26/12),"",$D26/12)</f>
        <v>94.25</v>
      </c>
      <c r="X26" s="907" t="n">
        <v>94</v>
      </c>
      <c r="Y26" s="913" t="n">
        <f aca="false">IF(ISERROR(X26/W26),"",X26/W26)</f>
        <v>0.997347480106101</v>
      </c>
      <c r="Z26" s="909" t="n">
        <f aca="false">SUM(Q26,T26,W26)</f>
        <v>282.75</v>
      </c>
      <c r="AA26" s="920" t="n">
        <f aca="false">SUM(R26,U26,X26)</f>
        <v>247</v>
      </c>
      <c r="AB26" s="911" t="n">
        <f aca="false">IF(ISERROR(AA26/Z26),"",AA26/Z26)</f>
        <v>0.873563218390805</v>
      </c>
      <c r="AC26" s="903" t="n">
        <f aca="false">IF(ISERROR($D26/12),"",$D26/12)</f>
        <v>94.25</v>
      </c>
      <c r="AD26" s="907"/>
      <c r="AE26" s="912" t="n">
        <f aca="false">IF(ISERROR(AD26/AC26),"",AD26/AC26)</f>
        <v>0</v>
      </c>
      <c r="AF26" s="906" t="n">
        <f aca="false">IF(ISERROR($D26/12),"",$D26/12)</f>
        <v>94.25</v>
      </c>
      <c r="AG26" s="907"/>
      <c r="AH26" s="912" t="n">
        <f aca="false">IF(ISERROR(AG26/AF26),"",AG26/AF26)</f>
        <v>0</v>
      </c>
      <c r="AI26" s="906" t="n">
        <f aca="false">IF(ISERROR($D26/12),"",$D26/12)</f>
        <v>94.25</v>
      </c>
      <c r="AJ26" s="907"/>
      <c r="AK26" s="913" t="n">
        <f aca="false">IF(ISERROR(AJ26/AI26),"",AJ26/AI26)</f>
        <v>0</v>
      </c>
      <c r="AL26" s="915" t="n">
        <f aca="false">SUM(AC26,AF26,AI26)</f>
        <v>282.75</v>
      </c>
      <c r="AM26" s="920" t="n">
        <f aca="false">SUM(AD26,AG26,AJ26)</f>
        <v>0</v>
      </c>
      <c r="AN26" s="911" t="n">
        <f aca="false">IF(ISERROR(AM26/AL26),"",AM26/AL26)</f>
        <v>0</v>
      </c>
      <c r="AO26" s="903" t="n">
        <f aca="false">IF(ISERROR($D26/12),"",$D26/12)</f>
        <v>94.25</v>
      </c>
      <c r="AP26" s="907"/>
      <c r="AQ26" s="912" t="n">
        <f aca="false">IF(ISERROR(AP26/AO26),"",AP26/AO26)</f>
        <v>0</v>
      </c>
      <c r="AR26" s="906" t="n">
        <f aca="false">IF(ISERROR($D26/12),"",$D26/12)</f>
        <v>94.25</v>
      </c>
      <c r="AS26" s="907"/>
      <c r="AT26" s="912" t="n">
        <f aca="false">IF(ISERROR(AS26/AR26),"",AS26/AR26)</f>
        <v>0</v>
      </c>
      <c r="AU26" s="906" t="n">
        <f aca="false">IF(ISERROR($D26/12),"",$D26/12)</f>
        <v>94.25</v>
      </c>
      <c r="AV26" s="907"/>
      <c r="AW26" s="913" t="n">
        <f aca="false">IF(ISERROR(AV26/AU26),"",AV26/AU26)</f>
        <v>0</v>
      </c>
      <c r="AX26" s="909" t="n">
        <f aca="false">SUM(AO26,AR26,AU26)</f>
        <v>282.75</v>
      </c>
      <c r="AY26" s="920" t="n">
        <f aca="false">SUM(AP26,AS26,AV26)</f>
        <v>0</v>
      </c>
      <c r="AZ26" s="911" t="n">
        <f aca="false">IF(ISERROR(AY26/AX26),"",AY26/AX26)</f>
        <v>0</v>
      </c>
      <c r="BA26" s="916" t="n">
        <f aca="false">D26</f>
        <v>1131</v>
      </c>
      <c r="BB26" s="917" t="n">
        <f aca="false">SUM(F26,I26,L26,R26,U26,X26,AD26,AG26,AJ26,AP26,AS26,AV26)</f>
        <v>501</v>
      </c>
      <c r="BC26" s="918" t="n">
        <f aca="false">IF(ISERROR(BB26/BA26),"",BB26/BA26)</f>
        <v>0.442970822281167</v>
      </c>
      <c r="BD26" s="919"/>
      <c r="BE26" s="919"/>
      <c r="BF26" s="919"/>
    </row>
    <row collapsed="false" customFormat="false" customHeight="false" hidden="false" ht="12.8" outlineLevel="0" r="27">
      <c r="A27" s="922"/>
      <c r="B27" s="924" t="str">
        <f aca="false">17_Prog_Produc_2011!B35</f>
        <v>Infectología</v>
      </c>
      <c r="C27" s="923" t="s">
        <v>328</v>
      </c>
      <c r="D27" s="921" t="n">
        <f aca="false">17_Prog_Produc_2011!G35</f>
        <v>2738</v>
      </c>
      <c r="E27" s="903" t="n">
        <f aca="false">IF(ISERROR($D27/12),"",$D27/12)</f>
        <v>228.166666666667</v>
      </c>
      <c r="F27" s="907" t="n">
        <v>124</v>
      </c>
      <c r="G27" s="905" t="n">
        <f aca="false">IF(ISERROR(F27/E27),"",F27/E27)</f>
        <v>0.543462381300219</v>
      </c>
      <c r="H27" s="906" t="n">
        <f aca="false">IF(ISERROR($D27/12),"",$D27/12)</f>
        <v>228.166666666667</v>
      </c>
      <c r="I27" s="907" t="n">
        <v>166</v>
      </c>
      <c r="J27" s="905" t="n">
        <f aca="false">IF(ISERROR(I27/H27),"",I27/H27)</f>
        <v>0.727538349159971</v>
      </c>
      <c r="K27" s="906" t="n">
        <f aca="false">IF(ISERROR($D27/12),"",$D27/12)</f>
        <v>228.166666666667</v>
      </c>
      <c r="L27" s="907" t="n">
        <v>170</v>
      </c>
      <c r="M27" s="908" t="n">
        <f aca="false">IF(ISERROR(L27/K27),"",L27/K27)</f>
        <v>0.745069393718042</v>
      </c>
      <c r="N27" s="909" t="n">
        <f aca="false">SUM(E27,H27,K27)</f>
        <v>684.5</v>
      </c>
      <c r="O27" s="920" t="n">
        <f aca="false">SUM(F27,I27,L27)</f>
        <v>460</v>
      </c>
      <c r="P27" s="911" t="n">
        <f aca="false">IF(ISERROR(O27/N27),"",O27/N27)</f>
        <v>0.672023374726077</v>
      </c>
      <c r="Q27" s="903" t="n">
        <f aca="false">IF(ISERROR($D27/12),"",$D27/12)</f>
        <v>228.166666666667</v>
      </c>
      <c r="R27" s="907" t="n">
        <v>182</v>
      </c>
      <c r="S27" s="912" t="n">
        <f aca="false">IF(ISERROR(R27/Q27),"",R27/Q27)</f>
        <v>0.797662527392257</v>
      </c>
      <c r="T27" s="906" t="n">
        <f aca="false">IF(ISERROR($D27/12),"",$D27/12)</f>
        <v>228.166666666667</v>
      </c>
      <c r="U27" s="907" t="n">
        <v>219</v>
      </c>
      <c r="V27" s="912" t="n">
        <f aca="false">IF(ISERROR(U27/T27),"",U27/T27)</f>
        <v>0.959824689554419</v>
      </c>
      <c r="W27" s="906" t="n">
        <f aca="false">IF(ISERROR($D27/12),"",$D27/12)</f>
        <v>228.166666666667</v>
      </c>
      <c r="X27" s="907" t="n">
        <v>228</v>
      </c>
      <c r="Y27" s="913" t="n">
        <f aca="false">IF(ISERROR(X27/W27),"",X27/W27)</f>
        <v>0.99926953981008</v>
      </c>
      <c r="Z27" s="909" t="n">
        <f aca="false">SUM(Q27,T27,W27)</f>
        <v>684.5</v>
      </c>
      <c r="AA27" s="920" t="n">
        <f aca="false">SUM(R27,U27,X27)</f>
        <v>629</v>
      </c>
      <c r="AB27" s="911" t="n">
        <f aca="false">IF(ISERROR(AA27/Z27),"",AA27/Z27)</f>
        <v>0.918918918918919</v>
      </c>
      <c r="AC27" s="903" t="n">
        <f aca="false">IF(ISERROR($D27/12),"",$D27/12)</f>
        <v>228.166666666667</v>
      </c>
      <c r="AD27" s="907"/>
      <c r="AE27" s="912" t="n">
        <f aca="false">IF(ISERROR(AD27/AC27),"",AD27/AC27)</f>
        <v>0</v>
      </c>
      <c r="AF27" s="906" t="n">
        <f aca="false">IF(ISERROR($D27/12),"",$D27/12)</f>
        <v>228.166666666667</v>
      </c>
      <c r="AG27" s="907"/>
      <c r="AH27" s="912" t="n">
        <f aca="false">IF(ISERROR(AG27/AF27),"",AG27/AF27)</f>
        <v>0</v>
      </c>
      <c r="AI27" s="906" t="n">
        <f aca="false">IF(ISERROR($D27/12),"",$D27/12)</f>
        <v>228.166666666667</v>
      </c>
      <c r="AJ27" s="907"/>
      <c r="AK27" s="913" t="n">
        <f aca="false">IF(ISERROR(AJ27/AI27),"",AJ27/AI27)</f>
        <v>0</v>
      </c>
      <c r="AL27" s="915" t="n">
        <f aca="false">SUM(AC27,AF27,AI27)</f>
        <v>684.5</v>
      </c>
      <c r="AM27" s="920" t="n">
        <f aca="false">SUM(AD27,AG27,AJ27)</f>
        <v>0</v>
      </c>
      <c r="AN27" s="911" t="n">
        <f aca="false">IF(ISERROR(AM27/AL27),"",AM27/AL27)</f>
        <v>0</v>
      </c>
      <c r="AO27" s="903" t="n">
        <f aca="false">IF(ISERROR($D27/12),"",$D27/12)</f>
        <v>228.166666666667</v>
      </c>
      <c r="AP27" s="907"/>
      <c r="AQ27" s="912" t="n">
        <f aca="false">IF(ISERROR(AP27/AO27),"",AP27/AO27)</f>
        <v>0</v>
      </c>
      <c r="AR27" s="906" t="n">
        <f aca="false">IF(ISERROR($D27/12),"",$D27/12)</f>
        <v>228.166666666667</v>
      </c>
      <c r="AS27" s="907"/>
      <c r="AT27" s="912" t="n">
        <f aca="false">IF(ISERROR(AS27/AR27),"",AS27/AR27)</f>
        <v>0</v>
      </c>
      <c r="AU27" s="906" t="n">
        <f aca="false">IF(ISERROR($D27/12),"",$D27/12)</f>
        <v>228.166666666667</v>
      </c>
      <c r="AV27" s="907"/>
      <c r="AW27" s="913" t="n">
        <f aca="false">IF(ISERROR(AV27/AU27),"",AV27/AU27)</f>
        <v>0</v>
      </c>
      <c r="AX27" s="909" t="n">
        <f aca="false">SUM(AO27,AR27,AU27)</f>
        <v>684.5</v>
      </c>
      <c r="AY27" s="920" t="n">
        <f aca="false">SUM(AP27,AS27,AV27)</f>
        <v>0</v>
      </c>
      <c r="AZ27" s="911" t="n">
        <f aca="false">IF(ISERROR(AY27/AX27),"",AY27/AX27)</f>
        <v>0</v>
      </c>
      <c r="BA27" s="916" t="n">
        <f aca="false">D27</f>
        <v>2738</v>
      </c>
      <c r="BB27" s="917" t="n">
        <f aca="false">SUM(F27,I27,L27,R27,U27,X27,AD27,AG27,AJ27,AP27,AS27,AV27)</f>
        <v>1089</v>
      </c>
      <c r="BC27" s="918" t="n">
        <f aca="false">IF(ISERROR(BB27/BA27),"",BB27/BA27)</f>
        <v>0.397735573411249</v>
      </c>
      <c r="BD27" s="919"/>
      <c r="BE27" s="919"/>
      <c r="BF27" s="919"/>
    </row>
    <row collapsed="false" customFormat="false" customHeight="false" hidden="false" ht="12.8" outlineLevel="0" r="28">
      <c r="A28" s="922"/>
      <c r="B28" s="924" t="str">
        <f aca="false">17_Prog_Produc_2011!B36</f>
        <v>Nefrología</v>
      </c>
      <c r="C28" s="923" t="s">
        <v>328</v>
      </c>
      <c r="D28" s="921" t="n">
        <f aca="false">17_Prog_Produc_2011!G36</f>
        <v>315</v>
      </c>
      <c r="E28" s="903" t="n">
        <f aca="false">IF(ISERROR($D28/12),"",$D28/12)</f>
        <v>26.25</v>
      </c>
      <c r="F28" s="907" t="n">
        <v>25</v>
      </c>
      <c r="G28" s="905" t="n">
        <f aca="false">IF(ISERROR(F28/E28),"",F28/E28)</f>
        <v>0.952380952380952</v>
      </c>
      <c r="H28" s="906" t="n">
        <f aca="false">IF(ISERROR($D28/12),"",$D28/12)</f>
        <v>26.25</v>
      </c>
      <c r="I28" s="907" t="n">
        <v>33</v>
      </c>
      <c r="J28" s="905" t="n">
        <f aca="false">IF(ISERROR(I28/H28),"",I28/H28)</f>
        <v>1.25714285714286</v>
      </c>
      <c r="K28" s="906" t="n">
        <f aca="false">IF(ISERROR($D28/12),"",$D28/12)</f>
        <v>26.25</v>
      </c>
      <c r="L28" s="907" t="n">
        <v>33</v>
      </c>
      <c r="M28" s="908" t="n">
        <f aca="false">IF(ISERROR(L28/K28),"",L28/K28)</f>
        <v>1.25714285714286</v>
      </c>
      <c r="N28" s="909" t="n">
        <f aca="false">SUM(E28,H28,K28)</f>
        <v>78.75</v>
      </c>
      <c r="O28" s="920" t="n">
        <f aca="false">SUM(F28,I28,L28)</f>
        <v>91</v>
      </c>
      <c r="P28" s="911" t="n">
        <f aca="false">IF(ISERROR(O28/N28),"",O28/N28)</f>
        <v>1.15555555555556</v>
      </c>
      <c r="Q28" s="903" t="n">
        <f aca="false">IF(ISERROR($D28/12),"",$D28/12)</f>
        <v>26.25</v>
      </c>
      <c r="R28" s="907" t="n">
        <v>24</v>
      </c>
      <c r="S28" s="912" t="n">
        <f aca="false">IF(ISERROR(R28/Q28),"",R28/Q28)</f>
        <v>0.914285714285714</v>
      </c>
      <c r="T28" s="906" t="n">
        <f aca="false">IF(ISERROR($D28/12),"",$D28/12)</f>
        <v>26.25</v>
      </c>
      <c r="U28" s="907" t="n">
        <v>31</v>
      </c>
      <c r="V28" s="912" t="n">
        <f aca="false">IF(ISERROR(U28/T28),"",U28/T28)</f>
        <v>1.18095238095238</v>
      </c>
      <c r="W28" s="906" t="n">
        <f aca="false">IF(ISERROR($D28/12),"",$D28/12)</f>
        <v>26.25</v>
      </c>
      <c r="X28" s="907" t="n">
        <v>26</v>
      </c>
      <c r="Y28" s="913" t="n">
        <f aca="false">IF(ISERROR(X28/W28),"",X28/W28)</f>
        <v>0.990476190476191</v>
      </c>
      <c r="Z28" s="909" t="n">
        <f aca="false">SUM(Q28,T28,W28)</f>
        <v>78.75</v>
      </c>
      <c r="AA28" s="920" t="n">
        <f aca="false">SUM(R28,U28,X28)</f>
        <v>81</v>
      </c>
      <c r="AB28" s="911" t="n">
        <f aca="false">IF(ISERROR(AA28/Z28),"",AA28/Z28)</f>
        <v>1.02857142857143</v>
      </c>
      <c r="AC28" s="903" t="n">
        <f aca="false">IF(ISERROR($D28/12),"",$D28/12)</f>
        <v>26.25</v>
      </c>
      <c r="AD28" s="907"/>
      <c r="AE28" s="912" t="n">
        <f aca="false">IF(ISERROR(AD28/AC28),"",AD28/AC28)</f>
        <v>0</v>
      </c>
      <c r="AF28" s="906" t="n">
        <f aca="false">IF(ISERROR($D28/12),"",$D28/12)</f>
        <v>26.25</v>
      </c>
      <c r="AG28" s="907"/>
      <c r="AH28" s="912" t="n">
        <f aca="false">IF(ISERROR(AG28/AF28),"",AG28/AF28)</f>
        <v>0</v>
      </c>
      <c r="AI28" s="906" t="n">
        <f aca="false">IF(ISERROR($D28/12),"",$D28/12)</f>
        <v>26.25</v>
      </c>
      <c r="AJ28" s="907"/>
      <c r="AK28" s="913" t="n">
        <f aca="false">IF(ISERROR(AJ28/AI28),"",AJ28/AI28)</f>
        <v>0</v>
      </c>
      <c r="AL28" s="915" t="n">
        <f aca="false">SUM(AC28,AF28,AI28)</f>
        <v>78.75</v>
      </c>
      <c r="AM28" s="920" t="n">
        <f aca="false">SUM(AD28,AG28,AJ28)</f>
        <v>0</v>
      </c>
      <c r="AN28" s="911" t="n">
        <f aca="false">IF(ISERROR(AM28/AL28),"",AM28/AL28)</f>
        <v>0</v>
      </c>
      <c r="AO28" s="903" t="n">
        <f aca="false">IF(ISERROR($D28/12),"",$D28/12)</f>
        <v>26.25</v>
      </c>
      <c r="AP28" s="907"/>
      <c r="AQ28" s="912" t="n">
        <f aca="false">IF(ISERROR(AP28/AO28),"",AP28/AO28)</f>
        <v>0</v>
      </c>
      <c r="AR28" s="906" t="n">
        <f aca="false">IF(ISERROR($D28/12),"",$D28/12)</f>
        <v>26.25</v>
      </c>
      <c r="AS28" s="907"/>
      <c r="AT28" s="912" t="n">
        <f aca="false">IF(ISERROR(AS28/AR28),"",AS28/AR28)</f>
        <v>0</v>
      </c>
      <c r="AU28" s="906" t="n">
        <f aca="false">IF(ISERROR($D28/12),"",$D28/12)</f>
        <v>26.25</v>
      </c>
      <c r="AV28" s="907"/>
      <c r="AW28" s="913" t="n">
        <f aca="false">IF(ISERROR(AV28/AU28),"",AV28/AU28)</f>
        <v>0</v>
      </c>
      <c r="AX28" s="909" t="n">
        <f aca="false">SUM(AO28,AR28,AU28)</f>
        <v>78.75</v>
      </c>
      <c r="AY28" s="920" t="n">
        <f aca="false">SUM(AP28,AS28,AV28)</f>
        <v>0</v>
      </c>
      <c r="AZ28" s="911" t="n">
        <f aca="false">IF(ISERROR(AY28/AX28),"",AY28/AX28)</f>
        <v>0</v>
      </c>
      <c r="BA28" s="916" t="n">
        <f aca="false">D28</f>
        <v>315</v>
      </c>
      <c r="BB28" s="917" t="n">
        <f aca="false">SUM(F28,I28,L28,R28,U28,X28,AD28,AG28,AJ28,AP28,AS28,AV28)</f>
        <v>172</v>
      </c>
      <c r="BC28" s="918" t="n">
        <f aca="false">IF(ISERROR(BB28/BA28),"",BB28/BA28)</f>
        <v>0.546031746031746</v>
      </c>
      <c r="BD28" s="919"/>
      <c r="BE28" s="919"/>
      <c r="BF28" s="919"/>
    </row>
    <row collapsed="false" customFormat="false" customHeight="false" hidden="false" ht="12.8" outlineLevel="0" r="29">
      <c r="A29" s="922"/>
      <c r="B29" s="924" t="str">
        <f aca="false">17_Prog_Produc_2011!B37</f>
        <v>Hematología</v>
      </c>
      <c r="C29" s="923" t="s">
        <v>328</v>
      </c>
      <c r="D29" s="921" t="n">
        <f aca="false">17_Prog_Produc_2011!G37</f>
        <v>951</v>
      </c>
      <c r="E29" s="903" t="n">
        <f aca="false">IF(ISERROR($D29/12),"",$D29/12)</f>
        <v>79.25</v>
      </c>
      <c r="F29" s="907" t="n">
        <v>70</v>
      </c>
      <c r="G29" s="905" t="n">
        <f aca="false">IF(ISERROR(F29/E29),"",F29/E29)</f>
        <v>0.883280757097792</v>
      </c>
      <c r="H29" s="906" t="n">
        <f aca="false">IF(ISERROR($D29/12),"",$D29/12)</f>
        <v>79.25</v>
      </c>
      <c r="I29" s="907" t="n">
        <v>65</v>
      </c>
      <c r="J29" s="905" t="n">
        <f aca="false">IF(ISERROR(I29/H29),"",I29/H29)</f>
        <v>0.820189274447949</v>
      </c>
      <c r="K29" s="906" t="n">
        <f aca="false">IF(ISERROR($D29/12),"",$D29/12)</f>
        <v>79.25</v>
      </c>
      <c r="L29" s="907" t="n">
        <v>86</v>
      </c>
      <c r="M29" s="908" t="n">
        <f aca="false">IF(ISERROR(L29/K29),"",L29/K29)</f>
        <v>1.08517350157729</v>
      </c>
      <c r="N29" s="909" t="n">
        <f aca="false">SUM(E29,H29,K29)</f>
        <v>237.75</v>
      </c>
      <c r="O29" s="920" t="n">
        <f aca="false">SUM(F29,I29,L29)</f>
        <v>221</v>
      </c>
      <c r="P29" s="911" t="n">
        <f aca="false">IF(ISERROR(O29/N29),"",O29/N29)</f>
        <v>0.929547844374343</v>
      </c>
      <c r="Q29" s="903" t="n">
        <f aca="false">IF(ISERROR($D29/12),"",$D29/12)</f>
        <v>79.25</v>
      </c>
      <c r="R29" s="907" t="n">
        <v>76</v>
      </c>
      <c r="S29" s="912" t="n">
        <f aca="false">IF(ISERROR(R29/Q29),"",R29/Q29)</f>
        <v>0.958990536277602</v>
      </c>
      <c r="T29" s="906" t="n">
        <f aca="false">IF(ISERROR($D29/12),"",$D29/12)</f>
        <v>79.25</v>
      </c>
      <c r="U29" s="907" t="n">
        <v>59</v>
      </c>
      <c r="V29" s="912" t="n">
        <f aca="false">IF(ISERROR(U29/T29),"",U29/T29)</f>
        <v>0.744479495268139</v>
      </c>
      <c r="W29" s="906" t="n">
        <f aca="false">IF(ISERROR($D29/12),"",$D29/12)</f>
        <v>79.25</v>
      </c>
      <c r="X29" s="907" t="n">
        <v>79</v>
      </c>
      <c r="Y29" s="913" t="n">
        <f aca="false">IF(ISERROR(X29/W29),"",X29/W29)</f>
        <v>0.996845425867508</v>
      </c>
      <c r="Z29" s="909" t="n">
        <f aca="false">SUM(Q29,T29,W29)</f>
        <v>237.75</v>
      </c>
      <c r="AA29" s="920" t="n">
        <f aca="false">SUM(R29,U29,X29)</f>
        <v>214</v>
      </c>
      <c r="AB29" s="911" t="n">
        <f aca="false">IF(ISERROR(AA29/Z29),"",AA29/Z29)</f>
        <v>0.900105152471083</v>
      </c>
      <c r="AC29" s="903" t="n">
        <f aca="false">IF(ISERROR($D29/12),"",$D29/12)</f>
        <v>79.25</v>
      </c>
      <c r="AD29" s="907"/>
      <c r="AE29" s="912" t="n">
        <f aca="false">IF(ISERROR(AD29/AC29),"",AD29/AC29)</f>
        <v>0</v>
      </c>
      <c r="AF29" s="906" t="n">
        <f aca="false">IF(ISERROR($D29/12),"",$D29/12)</f>
        <v>79.25</v>
      </c>
      <c r="AG29" s="907"/>
      <c r="AH29" s="912" t="n">
        <f aca="false">IF(ISERROR(AG29/AF29),"",AG29/AF29)</f>
        <v>0</v>
      </c>
      <c r="AI29" s="906" t="n">
        <f aca="false">IF(ISERROR($D29/12),"",$D29/12)</f>
        <v>79.25</v>
      </c>
      <c r="AJ29" s="907"/>
      <c r="AK29" s="913" t="n">
        <f aca="false">IF(ISERROR(AJ29/AI29),"",AJ29/AI29)</f>
        <v>0</v>
      </c>
      <c r="AL29" s="915" t="n">
        <f aca="false">SUM(AC29,AF29,AI29)</f>
        <v>237.75</v>
      </c>
      <c r="AM29" s="920" t="n">
        <f aca="false">SUM(AD29,AG29,AJ29)</f>
        <v>0</v>
      </c>
      <c r="AN29" s="911" t="n">
        <f aca="false">IF(ISERROR(AM29/AL29),"",AM29/AL29)</f>
        <v>0</v>
      </c>
      <c r="AO29" s="903" t="n">
        <f aca="false">IF(ISERROR($D29/12),"",$D29/12)</f>
        <v>79.25</v>
      </c>
      <c r="AP29" s="907"/>
      <c r="AQ29" s="912" t="n">
        <f aca="false">IF(ISERROR(AP29/AO29),"",AP29/AO29)</f>
        <v>0</v>
      </c>
      <c r="AR29" s="906" t="n">
        <f aca="false">IF(ISERROR($D29/12),"",$D29/12)</f>
        <v>79.25</v>
      </c>
      <c r="AS29" s="907"/>
      <c r="AT29" s="912" t="n">
        <f aca="false">IF(ISERROR(AS29/AR29),"",AS29/AR29)</f>
        <v>0</v>
      </c>
      <c r="AU29" s="906" t="n">
        <f aca="false">IF(ISERROR($D29/12),"",$D29/12)</f>
        <v>79.25</v>
      </c>
      <c r="AV29" s="907"/>
      <c r="AW29" s="913" t="n">
        <f aca="false">IF(ISERROR(AV29/AU29),"",AV29/AU29)</f>
        <v>0</v>
      </c>
      <c r="AX29" s="909" t="n">
        <f aca="false">SUM(AO29,AR29,AU29)</f>
        <v>237.75</v>
      </c>
      <c r="AY29" s="920" t="n">
        <f aca="false">SUM(AP29,AS29,AV29)</f>
        <v>0</v>
      </c>
      <c r="AZ29" s="911" t="n">
        <f aca="false">IF(ISERROR(AY29/AX29),"",AY29/AX29)</f>
        <v>0</v>
      </c>
      <c r="BA29" s="916" t="n">
        <f aca="false">D29</f>
        <v>951</v>
      </c>
      <c r="BB29" s="917" t="n">
        <f aca="false">SUM(F29,I29,L29,R29,U29,X29,AD29,AG29,AJ29,AP29,AS29,AV29)</f>
        <v>435</v>
      </c>
      <c r="BC29" s="918" t="n">
        <f aca="false">IF(ISERROR(BB29/BA29),"",BB29/BA29)</f>
        <v>0.457413249211356</v>
      </c>
      <c r="BD29" s="919"/>
      <c r="BE29" s="919"/>
      <c r="BF29" s="919"/>
    </row>
    <row collapsed="false" customFormat="false" customHeight="false" hidden="false" ht="12.8" outlineLevel="0" r="30">
      <c r="A30" s="922"/>
      <c r="B30" s="924" t="str">
        <f aca="false">17_Prog_Produc_2011!B38</f>
        <v>Oncología</v>
      </c>
      <c r="C30" s="923" t="s">
        <v>328</v>
      </c>
      <c r="D30" s="921" t="n">
        <f aca="false">17_Prog_Produc_2011!G38</f>
        <v>686</v>
      </c>
      <c r="E30" s="903" t="n">
        <f aca="false">IF(ISERROR($D30/12),"",$D30/12)</f>
        <v>57.1666666666667</v>
      </c>
      <c r="F30" s="907" t="n">
        <v>52</v>
      </c>
      <c r="G30" s="905" t="n">
        <f aca="false">IF(ISERROR(F30/E30),"",F30/E30)</f>
        <v>0.909620991253644</v>
      </c>
      <c r="H30" s="906" t="n">
        <f aca="false">IF(ISERROR($D30/12),"",$D30/12)</f>
        <v>57.1666666666667</v>
      </c>
      <c r="I30" s="907" t="n">
        <v>53</v>
      </c>
      <c r="J30" s="905" t="n">
        <f aca="false">IF(ISERROR(I30/H30),"",I30/H30)</f>
        <v>0.927113702623907</v>
      </c>
      <c r="K30" s="906" t="n">
        <f aca="false">IF(ISERROR($D30/12),"",$D30/12)</f>
        <v>57.1666666666667</v>
      </c>
      <c r="L30" s="907" t="n">
        <v>54</v>
      </c>
      <c r="M30" s="908" t="n">
        <f aca="false">IF(ISERROR(L30/K30),"",L30/K30)</f>
        <v>0.944606413994169</v>
      </c>
      <c r="N30" s="909" t="n">
        <f aca="false">SUM(E30,H30,K30)</f>
        <v>171.5</v>
      </c>
      <c r="O30" s="920" t="n">
        <f aca="false">SUM(F30,I30,L30)</f>
        <v>159</v>
      </c>
      <c r="P30" s="911" t="n">
        <f aca="false">IF(ISERROR(O30/N30),"",O30/N30)</f>
        <v>0.927113702623907</v>
      </c>
      <c r="Q30" s="903" t="n">
        <f aca="false">IF(ISERROR($D30/12),"",$D30/12)</f>
        <v>57.1666666666667</v>
      </c>
      <c r="R30" s="907" t="n">
        <v>56</v>
      </c>
      <c r="S30" s="912" t="n">
        <f aca="false">IF(ISERROR(R30/Q30),"",R30/Q30)</f>
        <v>0.979591836734694</v>
      </c>
      <c r="T30" s="906" t="n">
        <f aca="false">IF(ISERROR($D30/12),"",$D30/12)</f>
        <v>57.1666666666667</v>
      </c>
      <c r="U30" s="907" t="n">
        <v>61</v>
      </c>
      <c r="V30" s="912" t="n">
        <f aca="false">IF(ISERROR(U30/T30),"",U30/T30)</f>
        <v>1.06705539358601</v>
      </c>
      <c r="W30" s="906" t="n">
        <f aca="false">IF(ISERROR($D30/12),"",$D30/12)</f>
        <v>57.1666666666667</v>
      </c>
      <c r="X30" s="907" t="n">
        <v>57</v>
      </c>
      <c r="Y30" s="913" t="n">
        <f aca="false">IF(ISERROR(X30/W30),"",X30/W30)</f>
        <v>0.997084548104956</v>
      </c>
      <c r="Z30" s="909" t="n">
        <f aca="false">SUM(Q30,T30,W30)</f>
        <v>171.5</v>
      </c>
      <c r="AA30" s="920" t="n">
        <f aca="false">SUM(R30,U30,X30)</f>
        <v>174</v>
      </c>
      <c r="AB30" s="911" t="n">
        <f aca="false">IF(ISERROR(AA30/Z30),"",AA30/Z30)</f>
        <v>1.01457725947522</v>
      </c>
      <c r="AC30" s="903" t="n">
        <f aca="false">IF(ISERROR($D30/12),"",$D30/12)</f>
        <v>57.1666666666667</v>
      </c>
      <c r="AD30" s="907"/>
      <c r="AE30" s="912" t="n">
        <f aca="false">IF(ISERROR(AD30/AC30),"",AD30/AC30)</f>
        <v>0</v>
      </c>
      <c r="AF30" s="906" t="n">
        <f aca="false">IF(ISERROR($D30/12),"",$D30/12)</f>
        <v>57.1666666666667</v>
      </c>
      <c r="AG30" s="907"/>
      <c r="AH30" s="912" t="n">
        <f aca="false">IF(ISERROR(AG30/AF30),"",AG30/AF30)</f>
        <v>0</v>
      </c>
      <c r="AI30" s="906" t="n">
        <f aca="false">IF(ISERROR($D30/12),"",$D30/12)</f>
        <v>57.1666666666667</v>
      </c>
      <c r="AJ30" s="907"/>
      <c r="AK30" s="913" t="n">
        <f aca="false">IF(ISERROR(AJ30/AI30),"",AJ30/AI30)</f>
        <v>0</v>
      </c>
      <c r="AL30" s="915" t="n">
        <f aca="false">SUM(AC30,AF30,AI30)</f>
        <v>171.5</v>
      </c>
      <c r="AM30" s="920" t="n">
        <f aca="false">SUM(AD30,AG30,AJ30)</f>
        <v>0</v>
      </c>
      <c r="AN30" s="911" t="n">
        <f aca="false">IF(ISERROR(AM30/AL30),"",AM30/AL30)</f>
        <v>0</v>
      </c>
      <c r="AO30" s="903" t="n">
        <f aca="false">IF(ISERROR($D30/12),"",$D30/12)</f>
        <v>57.1666666666667</v>
      </c>
      <c r="AP30" s="907"/>
      <c r="AQ30" s="912" t="n">
        <f aca="false">IF(ISERROR(AP30/AO30),"",AP30/AO30)</f>
        <v>0</v>
      </c>
      <c r="AR30" s="906" t="n">
        <f aca="false">IF(ISERROR($D30/12),"",$D30/12)</f>
        <v>57.1666666666667</v>
      </c>
      <c r="AS30" s="907"/>
      <c r="AT30" s="912" t="n">
        <f aca="false">IF(ISERROR(AS30/AR30),"",AS30/AR30)</f>
        <v>0</v>
      </c>
      <c r="AU30" s="906" t="n">
        <f aca="false">IF(ISERROR($D30/12),"",$D30/12)</f>
        <v>57.1666666666667</v>
      </c>
      <c r="AV30" s="907"/>
      <c r="AW30" s="913" t="n">
        <f aca="false">IF(ISERROR(AV30/AU30),"",AV30/AU30)</f>
        <v>0</v>
      </c>
      <c r="AX30" s="909" t="n">
        <f aca="false">SUM(AO30,AR30,AU30)</f>
        <v>171.5</v>
      </c>
      <c r="AY30" s="920" t="n">
        <f aca="false">SUM(AP30,AS30,AV30)</f>
        <v>0</v>
      </c>
      <c r="AZ30" s="911" t="n">
        <f aca="false">IF(ISERROR(AY30/AX30),"",AY30/AX30)</f>
        <v>0</v>
      </c>
      <c r="BA30" s="916" t="n">
        <f aca="false">D30</f>
        <v>686</v>
      </c>
      <c r="BB30" s="917" t="n">
        <f aca="false">SUM(F30,I30,L30,R30,U30,X30,AD30,AG30,AJ30,AP30,AS30,AV30)</f>
        <v>333</v>
      </c>
      <c r="BC30" s="918" t="n">
        <f aca="false">IF(ISERROR(BB30/BA30),"",BB30/BA30)</f>
        <v>0.485422740524781</v>
      </c>
      <c r="BD30" s="919"/>
      <c r="BE30" s="919"/>
      <c r="BF30" s="919"/>
    </row>
    <row collapsed="false" customFormat="false" customHeight="false" hidden="false" ht="12.8" outlineLevel="0" r="31">
      <c r="A31" s="922"/>
      <c r="B31" s="924" t="str">
        <f aca="false">17_Prog_Produc_2011!B39</f>
        <v>Neonatología</v>
      </c>
      <c r="C31" s="923" t="s">
        <v>328</v>
      </c>
      <c r="D31" s="921" t="n">
        <f aca="false">17_Prog_Produc_2011!G39</f>
        <v>698</v>
      </c>
      <c r="E31" s="903" t="n">
        <f aca="false">IF(ISERROR($D31/12),"",$D31/12)</f>
        <v>58.1666666666667</v>
      </c>
      <c r="F31" s="907" t="n">
        <v>69</v>
      </c>
      <c r="G31" s="905" t="n">
        <f aca="false">IF(ISERROR(F31/E31),"",F31/E31)</f>
        <v>1.18624641833811</v>
      </c>
      <c r="H31" s="906" t="n">
        <f aca="false">IF(ISERROR($D31/12),"",$D31/12)</f>
        <v>58.1666666666667</v>
      </c>
      <c r="I31" s="907" t="n">
        <v>54</v>
      </c>
      <c r="J31" s="905" t="n">
        <f aca="false">IF(ISERROR(I31/H31),"",I31/H31)</f>
        <v>0.92836676217765</v>
      </c>
      <c r="K31" s="906" t="n">
        <f aca="false">IF(ISERROR($D31/12),"",$D31/12)</f>
        <v>58.1666666666667</v>
      </c>
      <c r="L31" s="907" t="n">
        <v>50</v>
      </c>
      <c r="M31" s="908" t="n">
        <f aca="false">IF(ISERROR(L31/K31),"",L31/K31)</f>
        <v>0.859598853868195</v>
      </c>
      <c r="N31" s="909" t="n">
        <f aca="false">SUM(E31,H31,K31)</f>
        <v>174.5</v>
      </c>
      <c r="O31" s="920" t="n">
        <f aca="false">SUM(F31,I31,L31)</f>
        <v>173</v>
      </c>
      <c r="P31" s="911" t="n">
        <f aca="false">IF(ISERROR(O31/N31),"",O31/N31)</f>
        <v>0.991404011461318</v>
      </c>
      <c r="Q31" s="903" t="n">
        <f aca="false">IF(ISERROR($D31/12),"",$D31/12)</f>
        <v>58.1666666666667</v>
      </c>
      <c r="R31" s="907" t="n">
        <v>58</v>
      </c>
      <c r="S31" s="912" t="n">
        <f aca="false">IF(ISERROR(R31/Q31),"",R31/Q31)</f>
        <v>0.997134670487106</v>
      </c>
      <c r="T31" s="906" t="n">
        <f aca="false">IF(ISERROR($D31/12),"",$D31/12)</f>
        <v>58.1666666666667</v>
      </c>
      <c r="U31" s="907" t="n">
        <v>50</v>
      </c>
      <c r="V31" s="912" t="n">
        <f aca="false">IF(ISERROR(U31/T31),"",U31/T31)</f>
        <v>0.859598853868195</v>
      </c>
      <c r="W31" s="906" t="n">
        <f aca="false">IF(ISERROR($D31/12),"",$D31/12)</f>
        <v>58.1666666666667</v>
      </c>
      <c r="X31" s="907" t="n">
        <v>58</v>
      </c>
      <c r="Y31" s="913" t="n">
        <f aca="false">IF(ISERROR(X31/W31),"",X31/W31)</f>
        <v>0.997134670487106</v>
      </c>
      <c r="Z31" s="909" t="n">
        <f aca="false">SUM(Q31,T31,W31)</f>
        <v>174.5</v>
      </c>
      <c r="AA31" s="920" t="n">
        <f aca="false">SUM(R31,U31,X31)</f>
        <v>166</v>
      </c>
      <c r="AB31" s="911" t="n">
        <f aca="false">IF(ISERROR(AA31/Z31),"",AA31/Z31)</f>
        <v>0.951289398280802</v>
      </c>
      <c r="AC31" s="903" t="n">
        <f aca="false">IF(ISERROR($D31/12),"",$D31/12)</f>
        <v>58.1666666666667</v>
      </c>
      <c r="AD31" s="907"/>
      <c r="AE31" s="912" t="n">
        <f aca="false">IF(ISERROR(AD31/AC31),"",AD31/AC31)</f>
        <v>0</v>
      </c>
      <c r="AF31" s="906" t="n">
        <f aca="false">IF(ISERROR($D31/12),"",$D31/12)</f>
        <v>58.1666666666667</v>
      </c>
      <c r="AG31" s="907"/>
      <c r="AH31" s="912" t="n">
        <f aca="false">IF(ISERROR(AG31/AF31),"",AG31/AF31)</f>
        <v>0</v>
      </c>
      <c r="AI31" s="906" t="n">
        <f aca="false">IF(ISERROR($D31/12),"",$D31/12)</f>
        <v>58.1666666666667</v>
      </c>
      <c r="AJ31" s="907"/>
      <c r="AK31" s="913" t="n">
        <f aca="false">IF(ISERROR(AJ31/AI31),"",AJ31/AI31)</f>
        <v>0</v>
      </c>
      <c r="AL31" s="915" t="n">
        <f aca="false">SUM(AC31,AF31,AI31)</f>
        <v>174.5</v>
      </c>
      <c r="AM31" s="920" t="n">
        <f aca="false">SUM(AD31,AG31,AJ31)</f>
        <v>0</v>
      </c>
      <c r="AN31" s="911" t="n">
        <f aca="false">IF(ISERROR(AM31/AL31),"",AM31/AL31)</f>
        <v>0</v>
      </c>
      <c r="AO31" s="903" t="n">
        <f aca="false">IF(ISERROR($D31/12),"",$D31/12)</f>
        <v>58.1666666666667</v>
      </c>
      <c r="AP31" s="907"/>
      <c r="AQ31" s="912" t="n">
        <f aca="false">IF(ISERROR(AP31/AO31),"",AP31/AO31)</f>
        <v>0</v>
      </c>
      <c r="AR31" s="906" t="n">
        <f aca="false">IF(ISERROR($D31/12),"",$D31/12)</f>
        <v>58.1666666666667</v>
      </c>
      <c r="AS31" s="907"/>
      <c r="AT31" s="912" t="n">
        <f aca="false">IF(ISERROR(AS31/AR31),"",AS31/AR31)</f>
        <v>0</v>
      </c>
      <c r="AU31" s="906" t="n">
        <f aca="false">IF(ISERROR($D31/12),"",$D31/12)</f>
        <v>58.1666666666667</v>
      </c>
      <c r="AV31" s="907"/>
      <c r="AW31" s="913" t="n">
        <f aca="false">IF(ISERROR(AV31/AU31),"",AV31/AU31)</f>
        <v>0</v>
      </c>
      <c r="AX31" s="909" t="n">
        <f aca="false">SUM(AO31,AR31,AU31)</f>
        <v>174.5</v>
      </c>
      <c r="AY31" s="920" t="n">
        <f aca="false">SUM(AP31,AS31,AV31)</f>
        <v>0</v>
      </c>
      <c r="AZ31" s="911" t="n">
        <f aca="false">IF(ISERROR(AY31/AX31),"",AY31/AX31)</f>
        <v>0</v>
      </c>
      <c r="BA31" s="916" t="n">
        <f aca="false">D31</f>
        <v>698</v>
      </c>
      <c r="BB31" s="917" t="n">
        <f aca="false">SUM(F31,I31,L31,R31,U31,X31,AD31,AG31,AJ31,AP31,AS31,AV31)</f>
        <v>339</v>
      </c>
      <c r="BC31" s="918" t="n">
        <f aca="false">IF(ISERROR(BB31/BA31),"",BB31/BA31)</f>
        <v>0.48567335243553</v>
      </c>
      <c r="BD31" s="919"/>
      <c r="BE31" s="919"/>
      <c r="BF31" s="919"/>
    </row>
    <row collapsed="false" customFormat="false" customHeight="false" hidden="false" ht="12.8" outlineLevel="0" r="32">
      <c r="A32" s="922"/>
      <c r="B32" s="924" t="str">
        <f aca="false">17_Prog_Produc_2011!B41</f>
        <v>Cirugía General</v>
      </c>
      <c r="C32" s="923" t="s">
        <v>328</v>
      </c>
      <c r="D32" s="921" t="n">
        <f aca="false">17_Prog_Produc_2011!G41</f>
        <v>2575</v>
      </c>
      <c r="E32" s="903" t="n">
        <f aca="false">IF(ISERROR($D32/12),"",$D32/12)</f>
        <v>214.583333333333</v>
      </c>
      <c r="F32" s="907" t="n">
        <v>194</v>
      </c>
      <c r="G32" s="905" t="n">
        <f aca="false">IF(ISERROR(F32/E32),"",F32/E32)</f>
        <v>0.904077669902913</v>
      </c>
      <c r="H32" s="906" t="n">
        <f aca="false">IF(ISERROR($D32/12),"",$D32/12)</f>
        <v>214.583333333333</v>
      </c>
      <c r="I32" s="907" t="n">
        <v>171</v>
      </c>
      <c r="J32" s="905" t="n">
        <f aca="false">IF(ISERROR(I32/H32),"",I32/H32)</f>
        <v>0.796893203883495</v>
      </c>
      <c r="K32" s="906" t="n">
        <f aca="false">IF(ISERROR($D32/12),"",$D32/12)</f>
        <v>214.583333333333</v>
      </c>
      <c r="L32" s="907" t="n">
        <v>215</v>
      </c>
      <c r="M32" s="908" t="n">
        <f aca="false">IF(ISERROR(L32/K32),"",L32/K32)</f>
        <v>1.00194174757282</v>
      </c>
      <c r="N32" s="909" t="n">
        <f aca="false">SUM(E32,H32,K32)</f>
        <v>643.75</v>
      </c>
      <c r="O32" s="920" t="n">
        <f aca="false">SUM(F32,I32,L32)</f>
        <v>580</v>
      </c>
      <c r="P32" s="911" t="n">
        <f aca="false">IF(ISERROR(O32/N32),"",O32/N32)</f>
        <v>0.900970873786408</v>
      </c>
      <c r="Q32" s="903" t="n">
        <f aca="false">IF(ISERROR($D32/12),"",$D32/12)</f>
        <v>214.583333333333</v>
      </c>
      <c r="R32" s="907" t="n">
        <v>170</v>
      </c>
      <c r="S32" s="912" t="n">
        <f aca="false">IF(ISERROR(R32/Q32),"",R32/Q32)</f>
        <v>0.792233009708738</v>
      </c>
      <c r="T32" s="906" t="n">
        <f aca="false">IF(ISERROR($D32/12),"",$D32/12)</f>
        <v>214.583333333333</v>
      </c>
      <c r="U32" s="907" t="n">
        <v>179</v>
      </c>
      <c r="V32" s="912" t="n">
        <f aca="false">IF(ISERROR(U32/T32),"",U32/T32)</f>
        <v>0.834174757281553</v>
      </c>
      <c r="W32" s="906" t="n">
        <f aca="false">IF(ISERROR($D32/12),"",$D32/12)</f>
        <v>214.583333333333</v>
      </c>
      <c r="X32" s="907" t="n">
        <v>215</v>
      </c>
      <c r="Y32" s="913" t="n">
        <f aca="false">IF(ISERROR(X32/W32),"",X32/W32)</f>
        <v>1.00194174757282</v>
      </c>
      <c r="Z32" s="909" t="n">
        <f aca="false">SUM(Q32,T32,W32)</f>
        <v>643.75</v>
      </c>
      <c r="AA32" s="920" t="n">
        <f aca="false">SUM(R32,U32,X32)</f>
        <v>564</v>
      </c>
      <c r="AB32" s="911" t="n">
        <f aca="false">IF(ISERROR(AA32/Z32),"",AA32/Z32)</f>
        <v>0.876116504854369</v>
      </c>
      <c r="AC32" s="903" t="n">
        <f aca="false">IF(ISERROR($D32/12),"",$D32/12)</f>
        <v>214.583333333333</v>
      </c>
      <c r="AD32" s="907"/>
      <c r="AE32" s="912" t="n">
        <f aca="false">IF(ISERROR(AD32/AC32),"",AD32/AC32)</f>
        <v>0</v>
      </c>
      <c r="AF32" s="906" t="n">
        <f aca="false">IF(ISERROR($D32/12),"",$D32/12)</f>
        <v>214.583333333333</v>
      </c>
      <c r="AG32" s="907"/>
      <c r="AH32" s="912" t="n">
        <f aca="false">IF(ISERROR(AG32/AF32),"",AG32/AF32)</f>
        <v>0</v>
      </c>
      <c r="AI32" s="906" t="n">
        <f aca="false">IF(ISERROR($D32/12),"",$D32/12)</f>
        <v>214.583333333333</v>
      </c>
      <c r="AJ32" s="907"/>
      <c r="AK32" s="913" t="n">
        <f aca="false">IF(ISERROR(AJ32/AI32),"",AJ32/AI32)</f>
        <v>0</v>
      </c>
      <c r="AL32" s="915" t="n">
        <f aca="false">SUM(AC32,AF32,AI32)</f>
        <v>643.75</v>
      </c>
      <c r="AM32" s="920" t="n">
        <f aca="false">SUM(AD32,AG32,AJ32)</f>
        <v>0</v>
      </c>
      <c r="AN32" s="911" t="n">
        <f aca="false">IF(ISERROR(AM32/AL32),"",AM32/AL32)</f>
        <v>0</v>
      </c>
      <c r="AO32" s="903" t="n">
        <f aca="false">IF(ISERROR($D32/12),"",$D32/12)</f>
        <v>214.583333333333</v>
      </c>
      <c r="AP32" s="907"/>
      <c r="AQ32" s="912" t="n">
        <f aca="false">IF(ISERROR(AP32/AO32),"",AP32/AO32)</f>
        <v>0</v>
      </c>
      <c r="AR32" s="906" t="n">
        <f aca="false">IF(ISERROR($D32/12),"",$D32/12)</f>
        <v>214.583333333333</v>
      </c>
      <c r="AS32" s="907"/>
      <c r="AT32" s="912" t="n">
        <f aca="false">IF(ISERROR(AS32/AR32),"",AS32/AR32)</f>
        <v>0</v>
      </c>
      <c r="AU32" s="906" t="n">
        <f aca="false">IF(ISERROR($D32/12),"",$D32/12)</f>
        <v>214.583333333333</v>
      </c>
      <c r="AV32" s="907"/>
      <c r="AW32" s="913" t="n">
        <f aca="false">IF(ISERROR(AV32/AU32),"",AV32/AU32)</f>
        <v>0</v>
      </c>
      <c r="AX32" s="909" t="n">
        <f aca="false">SUM(AO32,AR32,AU32)</f>
        <v>643.75</v>
      </c>
      <c r="AY32" s="920" t="n">
        <f aca="false">SUM(AP32,AS32,AV32)</f>
        <v>0</v>
      </c>
      <c r="AZ32" s="911" t="n">
        <f aca="false">IF(ISERROR(AY32/AX32),"",AY32/AX32)</f>
        <v>0</v>
      </c>
      <c r="BA32" s="916" t="n">
        <f aca="false">D32</f>
        <v>2575</v>
      </c>
      <c r="BB32" s="917" t="n">
        <f aca="false">SUM(F32,I32,L32,R32,U32,X32,AD32,AG32,AJ32,AP32,AS32,AV32)</f>
        <v>1144</v>
      </c>
      <c r="BC32" s="918" t="n">
        <f aca="false">IF(ISERROR(BB32/BA32),"",BB32/BA32)</f>
        <v>0.444271844660194</v>
      </c>
      <c r="BD32" s="919"/>
      <c r="BE32" s="919"/>
      <c r="BF32" s="919"/>
    </row>
    <row collapsed="false" customFormat="false" customHeight="false" hidden="false" ht="12.8" outlineLevel="0" r="33">
      <c r="A33" s="922"/>
      <c r="B33" s="924" t="str">
        <f aca="false">17_Prog_Produc_2011!B42</f>
        <v>Cirugía Plastica</v>
      </c>
      <c r="C33" s="923" t="s">
        <v>328</v>
      </c>
      <c r="D33" s="921" t="n">
        <f aca="false">17_Prog_Produc_2011!G42</f>
        <v>1028</v>
      </c>
      <c r="E33" s="903" t="n">
        <f aca="false">IF(ISERROR($D33/12),"",$D33/12)</f>
        <v>85.6666666666667</v>
      </c>
      <c r="F33" s="907" t="n">
        <v>98</v>
      </c>
      <c r="G33" s="905" t="n">
        <f aca="false">IF(ISERROR(F33/E33),"",F33/E33)</f>
        <v>1.14396887159533</v>
      </c>
      <c r="H33" s="906" t="n">
        <f aca="false">IF(ISERROR($D33/12),"",$D33/12)</f>
        <v>85.6666666666667</v>
      </c>
      <c r="I33" s="907" t="n">
        <v>74</v>
      </c>
      <c r="J33" s="905" t="n">
        <f aca="false">IF(ISERROR(I33/H33),"",I33/H33)</f>
        <v>0.863813229571984</v>
      </c>
      <c r="K33" s="906" t="n">
        <f aca="false">IF(ISERROR($D33/12),"",$D33/12)</f>
        <v>85.6666666666667</v>
      </c>
      <c r="L33" s="907" t="n">
        <v>102</v>
      </c>
      <c r="M33" s="908" t="n">
        <f aca="false">IF(ISERROR(L33/K33),"",L33/K33)</f>
        <v>1.19066147859922</v>
      </c>
      <c r="N33" s="909" t="n">
        <f aca="false">SUM(E33,H33,K33)</f>
        <v>257</v>
      </c>
      <c r="O33" s="920" t="n">
        <f aca="false">SUM(F33,I33,L33)</f>
        <v>274</v>
      </c>
      <c r="P33" s="911" t="n">
        <f aca="false">IF(ISERROR(O33/N33),"",O33/N33)</f>
        <v>1.06614785992218</v>
      </c>
      <c r="Q33" s="903" t="n">
        <f aca="false">IF(ISERROR($D33/12),"",$D33/12)</f>
        <v>85.6666666666667</v>
      </c>
      <c r="R33" s="907" t="n">
        <v>81</v>
      </c>
      <c r="S33" s="912" t="n">
        <f aca="false">IF(ISERROR(R33/Q33),"",R33/Q33)</f>
        <v>0.945525291828794</v>
      </c>
      <c r="T33" s="906" t="n">
        <f aca="false">IF(ISERROR($D33/12),"",$D33/12)</f>
        <v>85.6666666666667</v>
      </c>
      <c r="U33" s="907" t="n">
        <v>98</v>
      </c>
      <c r="V33" s="912" t="n">
        <f aca="false">IF(ISERROR(U33/T33),"",U33/T33)</f>
        <v>1.14396887159533</v>
      </c>
      <c r="W33" s="906" t="n">
        <f aca="false">IF(ISERROR($D33/12),"",$D33/12)</f>
        <v>85.6666666666667</v>
      </c>
      <c r="X33" s="907" t="n">
        <v>86</v>
      </c>
      <c r="Y33" s="913" t="n">
        <f aca="false">IF(ISERROR(X33/W33),"",X33/W33)</f>
        <v>1.00389105058366</v>
      </c>
      <c r="Z33" s="909" t="n">
        <f aca="false">SUM(Q33,T33,W33)</f>
        <v>257</v>
      </c>
      <c r="AA33" s="920" t="n">
        <f aca="false">SUM(R33,U33,X33)</f>
        <v>265</v>
      </c>
      <c r="AB33" s="911" t="n">
        <f aca="false">IF(ISERROR(AA33/Z33),"",AA33/Z33)</f>
        <v>1.03112840466926</v>
      </c>
      <c r="AC33" s="903" t="n">
        <f aca="false">IF(ISERROR($D33/12),"",$D33/12)</f>
        <v>85.6666666666667</v>
      </c>
      <c r="AD33" s="907"/>
      <c r="AE33" s="912" t="n">
        <f aca="false">IF(ISERROR(AD33/AC33),"",AD33/AC33)</f>
        <v>0</v>
      </c>
      <c r="AF33" s="906" t="n">
        <f aca="false">IF(ISERROR($D33/12),"",$D33/12)</f>
        <v>85.6666666666667</v>
      </c>
      <c r="AG33" s="907"/>
      <c r="AH33" s="912" t="n">
        <f aca="false">IF(ISERROR(AG33/AF33),"",AG33/AF33)</f>
        <v>0</v>
      </c>
      <c r="AI33" s="906" t="n">
        <f aca="false">IF(ISERROR($D33/12),"",$D33/12)</f>
        <v>85.6666666666667</v>
      </c>
      <c r="AJ33" s="907"/>
      <c r="AK33" s="913" t="n">
        <f aca="false">IF(ISERROR(AJ33/AI33),"",AJ33/AI33)</f>
        <v>0</v>
      </c>
      <c r="AL33" s="915" t="n">
        <f aca="false">SUM(AC33,AF33,AI33)</f>
        <v>257</v>
      </c>
      <c r="AM33" s="920" t="n">
        <f aca="false">SUM(AD33,AG33,AJ33)</f>
        <v>0</v>
      </c>
      <c r="AN33" s="911" t="n">
        <f aca="false">IF(ISERROR(AM33/AL33),"",AM33/AL33)</f>
        <v>0</v>
      </c>
      <c r="AO33" s="903" t="n">
        <f aca="false">IF(ISERROR($D33/12),"",$D33/12)</f>
        <v>85.6666666666667</v>
      </c>
      <c r="AP33" s="907"/>
      <c r="AQ33" s="912" t="n">
        <f aca="false">IF(ISERROR(AP33/AO33),"",AP33/AO33)</f>
        <v>0</v>
      </c>
      <c r="AR33" s="906" t="n">
        <f aca="false">IF(ISERROR($D33/12),"",$D33/12)</f>
        <v>85.6666666666667</v>
      </c>
      <c r="AS33" s="907"/>
      <c r="AT33" s="912" t="n">
        <f aca="false">IF(ISERROR(AS33/AR33),"",AS33/AR33)</f>
        <v>0</v>
      </c>
      <c r="AU33" s="906" t="n">
        <f aca="false">IF(ISERROR($D33/12),"",$D33/12)</f>
        <v>85.6666666666667</v>
      </c>
      <c r="AV33" s="907"/>
      <c r="AW33" s="913" t="n">
        <f aca="false">IF(ISERROR(AV33/AU33),"",AV33/AU33)</f>
        <v>0</v>
      </c>
      <c r="AX33" s="909" t="n">
        <f aca="false">SUM(AO33,AR33,AU33)</f>
        <v>257</v>
      </c>
      <c r="AY33" s="920" t="n">
        <f aca="false">SUM(AP33,AS33,AV33)</f>
        <v>0</v>
      </c>
      <c r="AZ33" s="911" t="n">
        <f aca="false">IF(ISERROR(AY33/AX33),"",AY33/AX33)</f>
        <v>0</v>
      </c>
      <c r="BA33" s="916" t="n">
        <f aca="false">D33</f>
        <v>1028</v>
      </c>
      <c r="BB33" s="917" t="n">
        <f aca="false">SUM(F33,I33,L33,R33,U33,X33,AD33,AG33,AJ33,AP33,AS33,AV33)</f>
        <v>539</v>
      </c>
      <c r="BC33" s="918" t="n">
        <f aca="false">IF(ISERROR(BB33/BA33),"",BB33/BA33)</f>
        <v>0.52431906614786</v>
      </c>
      <c r="BD33" s="919"/>
      <c r="BE33" s="919"/>
      <c r="BF33" s="919"/>
    </row>
    <row collapsed="false" customFormat="false" customHeight="false" hidden="false" ht="12.8" outlineLevel="0" r="34">
      <c r="A34" s="922"/>
      <c r="B34" s="924" t="str">
        <f aca="false">17_Prog_Produc_2011!B43</f>
        <v>Neurocirugía</v>
      </c>
      <c r="C34" s="923" t="s">
        <v>328</v>
      </c>
      <c r="D34" s="921" t="n">
        <f aca="false">17_Prog_Produc_2011!G43</f>
        <v>1309</v>
      </c>
      <c r="E34" s="903" t="n">
        <f aca="false">IF(ISERROR($D34/12),"",$D34/12)</f>
        <v>109.083333333333</v>
      </c>
      <c r="F34" s="907" t="n">
        <v>120</v>
      </c>
      <c r="G34" s="905" t="n">
        <f aca="false">IF(ISERROR(F34/E34),"",F34/E34)</f>
        <v>1.10007639419404</v>
      </c>
      <c r="H34" s="906" t="n">
        <f aca="false">IF(ISERROR($D34/12),"",$D34/12)</f>
        <v>109.083333333333</v>
      </c>
      <c r="I34" s="907" t="n">
        <v>87</v>
      </c>
      <c r="J34" s="905" t="n">
        <f aca="false">IF(ISERROR(I34/H34),"",I34/H34)</f>
        <v>0.79755538579068</v>
      </c>
      <c r="K34" s="906" t="n">
        <f aca="false">IF(ISERROR($D34/12),"",$D34/12)</f>
        <v>109.083333333333</v>
      </c>
      <c r="L34" s="907" t="n">
        <v>93</v>
      </c>
      <c r="M34" s="908" t="n">
        <f aca="false">IF(ISERROR(L34/K34),"",L34/K34)</f>
        <v>0.852559205500382</v>
      </c>
      <c r="N34" s="909" t="n">
        <f aca="false">SUM(E34,H34,K34)</f>
        <v>327.25</v>
      </c>
      <c r="O34" s="920" t="n">
        <f aca="false">SUM(F34,I34,L34)</f>
        <v>300</v>
      </c>
      <c r="P34" s="911" t="n">
        <f aca="false">IF(ISERROR(O34/N34),"",O34/N34)</f>
        <v>0.916730328495034</v>
      </c>
      <c r="Q34" s="903" t="n">
        <f aca="false">IF(ISERROR($D34/12),"",$D34/12)</f>
        <v>109.083333333333</v>
      </c>
      <c r="R34" s="907" t="n">
        <v>94</v>
      </c>
      <c r="S34" s="912" t="n">
        <f aca="false">IF(ISERROR(R34/Q34),"",R34/Q34)</f>
        <v>0.861726508785332</v>
      </c>
      <c r="T34" s="906" t="n">
        <f aca="false">IF(ISERROR($D34/12),"",$D34/12)</f>
        <v>109.083333333333</v>
      </c>
      <c r="U34" s="907" t="n">
        <v>78</v>
      </c>
      <c r="V34" s="912" t="n">
        <f aca="false">IF(ISERROR(U34/T34),"",U34/T34)</f>
        <v>0.715049656226127</v>
      </c>
      <c r="W34" s="906" t="n">
        <f aca="false">IF(ISERROR($D34/12),"",$D34/12)</f>
        <v>109.083333333333</v>
      </c>
      <c r="X34" s="907" t="n">
        <v>109</v>
      </c>
      <c r="Y34" s="913" t="n">
        <f aca="false">IF(ISERROR(X34/W34),"",X34/W34)</f>
        <v>0.999236058059588</v>
      </c>
      <c r="Z34" s="909" t="n">
        <f aca="false">SUM(Q34,T34,W34)</f>
        <v>327.25</v>
      </c>
      <c r="AA34" s="920" t="n">
        <f aca="false">SUM(R34,U34,X34)</f>
        <v>281</v>
      </c>
      <c r="AB34" s="911" t="n">
        <f aca="false">IF(ISERROR(AA34/Z34),"",AA34/Z34)</f>
        <v>0.858670741023682</v>
      </c>
      <c r="AC34" s="903" t="n">
        <f aca="false">IF(ISERROR($D34/12),"",$D34/12)</f>
        <v>109.083333333333</v>
      </c>
      <c r="AD34" s="907"/>
      <c r="AE34" s="912" t="n">
        <f aca="false">IF(ISERROR(AD34/AC34),"",AD34/AC34)</f>
        <v>0</v>
      </c>
      <c r="AF34" s="906" t="n">
        <f aca="false">IF(ISERROR($D34/12),"",$D34/12)</f>
        <v>109.083333333333</v>
      </c>
      <c r="AG34" s="907"/>
      <c r="AH34" s="912" t="n">
        <f aca="false">IF(ISERROR(AG34/AF34),"",AG34/AF34)</f>
        <v>0</v>
      </c>
      <c r="AI34" s="906" t="n">
        <f aca="false">IF(ISERROR($D34/12),"",$D34/12)</f>
        <v>109.083333333333</v>
      </c>
      <c r="AJ34" s="907"/>
      <c r="AK34" s="913" t="n">
        <f aca="false">IF(ISERROR(AJ34/AI34),"",AJ34/AI34)</f>
        <v>0</v>
      </c>
      <c r="AL34" s="915" t="n">
        <f aca="false">SUM(AC34,AF34,AI34)</f>
        <v>327.25</v>
      </c>
      <c r="AM34" s="920" t="n">
        <f aca="false">SUM(AD34,AG34,AJ34)</f>
        <v>0</v>
      </c>
      <c r="AN34" s="911" t="n">
        <f aca="false">IF(ISERROR(AM34/AL34),"",AM34/AL34)</f>
        <v>0</v>
      </c>
      <c r="AO34" s="903" t="n">
        <f aca="false">IF(ISERROR($D34/12),"",$D34/12)</f>
        <v>109.083333333333</v>
      </c>
      <c r="AP34" s="907"/>
      <c r="AQ34" s="912" t="n">
        <f aca="false">IF(ISERROR(AP34/AO34),"",AP34/AO34)</f>
        <v>0</v>
      </c>
      <c r="AR34" s="906" t="n">
        <f aca="false">IF(ISERROR($D34/12),"",$D34/12)</f>
        <v>109.083333333333</v>
      </c>
      <c r="AS34" s="907"/>
      <c r="AT34" s="912" t="n">
        <f aca="false">IF(ISERROR(AS34/AR34),"",AS34/AR34)</f>
        <v>0</v>
      </c>
      <c r="AU34" s="906" t="n">
        <f aca="false">IF(ISERROR($D34/12),"",$D34/12)</f>
        <v>109.083333333333</v>
      </c>
      <c r="AV34" s="907"/>
      <c r="AW34" s="913" t="n">
        <f aca="false">IF(ISERROR(AV34/AU34),"",AV34/AU34)</f>
        <v>0</v>
      </c>
      <c r="AX34" s="909" t="n">
        <f aca="false">SUM(AO34,AR34,AU34)</f>
        <v>327.25</v>
      </c>
      <c r="AY34" s="920" t="n">
        <f aca="false">SUM(AP34,AS34,AV34)</f>
        <v>0</v>
      </c>
      <c r="AZ34" s="911" t="n">
        <f aca="false">IF(ISERROR(AY34/AX34),"",AY34/AX34)</f>
        <v>0</v>
      </c>
      <c r="BA34" s="916" t="n">
        <f aca="false">D34</f>
        <v>1309</v>
      </c>
      <c r="BB34" s="917" t="n">
        <f aca="false">SUM(F34,I34,L34,R34,U34,X34,AD34,AG34,AJ34,AP34,AS34,AV34)</f>
        <v>581</v>
      </c>
      <c r="BC34" s="918" t="n">
        <f aca="false">IF(ISERROR(BB34/BA34),"",BB34/BA34)</f>
        <v>0.443850267379679</v>
      </c>
      <c r="BD34" s="919"/>
      <c r="BE34" s="919"/>
      <c r="BF34" s="919"/>
    </row>
    <row collapsed="false" customFormat="false" customHeight="false" hidden="false" ht="12.8" outlineLevel="0" r="35">
      <c r="A35" s="922"/>
      <c r="B35" s="924" t="str">
        <f aca="false">17_Prog_Produc_2011!B44</f>
        <v>Oftalmología</v>
      </c>
      <c r="C35" s="923" t="s">
        <v>328</v>
      </c>
      <c r="D35" s="921" t="n">
        <f aca="false">17_Prog_Produc_2011!G44</f>
        <v>732</v>
      </c>
      <c r="E35" s="903" t="n">
        <f aca="false">IF(ISERROR($D35/12),"",$D35/12)</f>
        <v>61</v>
      </c>
      <c r="F35" s="907" t="n">
        <v>78</v>
      </c>
      <c r="G35" s="905" t="n">
        <f aca="false">IF(ISERROR(F35/E35),"",F35/E35)</f>
        <v>1.27868852459016</v>
      </c>
      <c r="H35" s="906" t="n">
        <f aca="false">IF(ISERROR($D35/12),"",$D35/12)</f>
        <v>61</v>
      </c>
      <c r="I35" s="907" t="n">
        <v>68</v>
      </c>
      <c r="J35" s="905" t="n">
        <f aca="false">IF(ISERROR(I35/H35),"",I35/H35)</f>
        <v>1.11475409836066</v>
      </c>
      <c r="K35" s="906" t="n">
        <f aca="false">IF(ISERROR($D35/12),"",$D35/12)</f>
        <v>61</v>
      </c>
      <c r="L35" s="907" t="n">
        <v>94</v>
      </c>
      <c r="M35" s="908" t="n">
        <f aca="false">IF(ISERROR(L35/K35),"",L35/K35)</f>
        <v>1.54098360655738</v>
      </c>
      <c r="N35" s="909" t="n">
        <f aca="false">SUM(E35,H35,K35)</f>
        <v>183</v>
      </c>
      <c r="O35" s="920" t="n">
        <f aca="false">SUM(F35,I35,L35)</f>
        <v>240</v>
      </c>
      <c r="P35" s="911" t="n">
        <f aca="false">IF(ISERROR(O35/N35),"",O35/N35)</f>
        <v>1.31147540983607</v>
      </c>
      <c r="Q35" s="903" t="n">
        <f aca="false">IF(ISERROR($D35/12),"",$D35/12)</f>
        <v>61</v>
      </c>
      <c r="R35" s="907" t="n">
        <v>73</v>
      </c>
      <c r="S35" s="912" t="n">
        <f aca="false">IF(ISERROR(R35/Q35),"",R35/Q35)</f>
        <v>1.19672131147541</v>
      </c>
      <c r="T35" s="906" t="n">
        <f aca="false">IF(ISERROR($D35/12),"",$D35/12)</f>
        <v>61</v>
      </c>
      <c r="U35" s="907" t="n">
        <v>84</v>
      </c>
      <c r="V35" s="912" t="n">
        <f aca="false">IF(ISERROR(U35/T35),"",U35/T35)</f>
        <v>1.37704918032787</v>
      </c>
      <c r="W35" s="906" t="n">
        <f aca="false">IF(ISERROR($D35/12),"",$D35/12)</f>
        <v>61</v>
      </c>
      <c r="X35" s="907" t="n">
        <v>61</v>
      </c>
      <c r="Y35" s="913" t="n">
        <f aca="false">IF(ISERROR(X35/W35),"",X35/W35)</f>
        <v>1</v>
      </c>
      <c r="Z35" s="909" t="n">
        <f aca="false">SUM(Q35,T35,W35)</f>
        <v>183</v>
      </c>
      <c r="AA35" s="920" t="n">
        <f aca="false">SUM(R35,U35,X35)</f>
        <v>218</v>
      </c>
      <c r="AB35" s="911" t="n">
        <f aca="false">IF(ISERROR(AA35/Z35),"",AA35/Z35)</f>
        <v>1.19125683060109</v>
      </c>
      <c r="AC35" s="903" t="n">
        <f aca="false">IF(ISERROR($D35/12),"",$D35/12)</f>
        <v>61</v>
      </c>
      <c r="AD35" s="907"/>
      <c r="AE35" s="912" t="n">
        <f aca="false">IF(ISERROR(AD35/AC35),"",AD35/AC35)</f>
        <v>0</v>
      </c>
      <c r="AF35" s="906" t="n">
        <f aca="false">IF(ISERROR($D35/12),"",$D35/12)</f>
        <v>61</v>
      </c>
      <c r="AG35" s="907"/>
      <c r="AH35" s="912" t="n">
        <f aca="false">IF(ISERROR(AG35/AF35),"",AG35/AF35)</f>
        <v>0</v>
      </c>
      <c r="AI35" s="906" t="n">
        <f aca="false">IF(ISERROR($D35/12),"",$D35/12)</f>
        <v>61</v>
      </c>
      <c r="AJ35" s="907"/>
      <c r="AK35" s="913" t="n">
        <f aca="false">IF(ISERROR(AJ35/AI35),"",AJ35/AI35)</f>
        <v>0</v>
      </c>
      <c r="AL35" s="915" t="n">
        <f aca="false">SUM(AC35,AF35,AI35)</f>
        <v>183</v>
      </c>
      <c r="AM35" s="920" t="n">
        <f aca="false">SUM(AD35,AG35,AJ35)</f>
        <v>0</v>
      </c>
      <c r="AN35" s="911" t="n">
        <f aca="false">IF(ISERROR(AM35/AL35),"",AM35/AL35)</f>
        <v>0</v>
      </c>
      <c r="AO35" s="903" t="n">
        <f aca="false">IF(ISERROR($D35/12),"",$D35/12)</f>
        <v>61</v>
      </c>
      <c r="AP35" s="907"/>
      <c r="AQ35" s="912" t="n">
        <f aca="false">IF(ISERROR(AP35/AO35),"",AP35/AO35)</f>
        <v>0</v>
      </c>
      <c r="AR35" s="906" t="n">
        <f aca="false">IF(ISERROR($D35/12),"",$D35/12)</f>
        <v>61</v>
      </c>
      <c r="AS35" s="907"/>
      <c r="AT35" s="912" t="n">
        <f aca="false">IF(ISERROR(AS35/AR35),"",AS35/AR35)</f>
        <v>0</v>
      </c>
      <c r="AU35" s="906" t="n">
        <f aca="false">IF(ISERROR($D35/12),"",$D35/12)</f>
        <v>61</v>
      </c>
      <c r="AV35" s="907"/>
      <c r="AW35" s="913" t="n">
        <f aca="false">IF(ISERROR(AV35/AU35),"",AV35/AU35)</f>
        <v>0</v>
      </c>
      <c r="AX35" s="909" t="n">
        <f aca="false">SUM(AO35,AR35,AU35)</f>
        <v>183</v>
      </c>
      <c r="AY35" s="920" t="n">
        <f aca="false">SUM(AP35,AS35,AV35)</f>
        <v>0</v>
      </c>
      <c r="AZ35" s="911" t="n">
        <f aca="false">IF(ISERROR(AY35/AX35),"",AY35/AX35)</f>
        <v>0</v>
      </c>
      <c r="BA35" s="916" t="n">
        <f aca="false">D35</f>
        <v>732</v>
      </c>
      <c r="BB35" s="917" t="n">
        <f aca="false">SUM(F35,I35,L35,R35,U35,X35,AD35,AG35,AJ35,AP35,AS35,AV35)</f>
        <v>458</v>
      </c>
      <c r="BC35" s="918" t="n">
        <f aca="false">IF(ISERROR(BB35/BA35),"",BB35/BA35)</f>
        <v>0.62568306010929</v>
      </c>
      <c r="BD35" s="919"/>
      <c r="BE35" s="919"/>
      <c r="BF35" s="919"/>
    </row>
    <row collapsed="false" customFormat="false" customHeight="false" hidden="false" ht="12.8" outlineLevel="0" r="36">
      <c r="A36" s="922"/>
      <c r="B36" s="924" t="str">
        <f aca="false">17_Prog_Produc_2011!B45</f>
        <v>Otorrinolaringología</v>
      </c>
      <c r="C36" s="923" t="s">
        <v>328</v>
      </c>
      <c r="D36" s="921" t="n">
        <f aca="false">17_Prog_Produc_2011!G45</f>
        <v>1713</v>
      </c>
      <c r="E36" s="903" t="n">
        <f aca="false">IF(ISERROR($D36/12),"",$D36/12)</f>
        <v>142.75</v>
      </c>
      <c r="F36" s="907" t="n">
        <v>103</v>
      </c>
      <c r="G36" s="905" t="n">
        <f aca="false">IF(ISERROR(F36/E36),"",F36/E36)</f>
        <v>0.7215411558669</v>
      </c>
      <c r="H36" s="906" t="n">
        <f aca="false">IF(ISERROR($D36/12),"",$D36/12)</f>
        <v>142.75</v>
      </c>
      <c r="I36" s="907" t="n">
        <v>106</v>
      </c>
      <c r="J36" s="905" t="n">
        <f aca="false">IF(ISERROR(I36/H36),"",I36/H36)</f>
        <v>0.742556917688266</v>
      </c>
      <c r="K36" s="906" t="n">
        <f aca="false">IF(ISERROR($D36/12),"",$D36/12)</f>
        <v>142.75</v>
      </c>
      <c r="L36" s="907" t="n">
        <v>130</v>
      </c>
      <c r="M36" s="908" t="n">
        <f aca="false">IF(ISERROR(L36/K36),"",L36/K36)</f>
        <v>0.910683012259194</v>
      </c>
      <c r="N36" s="909" t="n">
        <f aca="false">SUM(E36,H36,K36)</f>
        <v>428.25</v>
      </c>
      <c r="O36" s="920" t="n">
        <f aca="false">SUM(F36,I36,L36)</f>
        <v>339</v>
      </c>
      <c r="P36" s="911" t="n">
        <f aca="false">IF(ISERROR(O36/N36),"",O36/N36)</f>
        <v>0.791593695271454</v>
      </c>
      <c r="Q36" s="903" t="n">
        <f aca="false">IF(ISERROR($D36/12),"",$D36/12)</f>
        <v>142.75</v>
      </c>
      <c r="R36" s="907" t="n">
        <v>83</v>
      </c>
      <c r="S36" s="912" t="n">
        <f aca="false">IF(ISERROR(R36/Q36),"",R36/Q36)</f>
        <v>0.581436077057793</v>
      </c>
      <c r="T36" s="906" t="n">
        <f aca="false">IF(ISERROR($D36/12),"",$D36/12)</f>
        <v>142.75</v>
      </c>
      <c r="U36" s="907" t="n">
        <v>106</v>
      </c>
      <c r="V36" s="912" t="n">
        <f aca="false">IF(ISERROR(U36/T36),"",U36/T36)</f>
        <v>0.742556917688266</v>
      </c>
      <c r="W36" s="906" t="n">
        <f aca="false">IF(ISERROR($D36/12),"",$D36/12)</f>
        <v>142.75</v>
      </c>
      <c r="X36" s="907" t="n">
        <v>143</v>
      </c>
      <c r="Y36" s="913" t="n">
        <f aca="false">IF(ISERROR(X36/W36),"",X36/W36)</f>
        <v>1.00175131348511</v>
      </c>
      <c r="Z36" s="909" t="n">
        <f aca="false">SUM(Q36,T36,W36)</f>
        <v>428.25</v>
      </c>
      <c r="AA36" s="920" t="n">
        <f aca="false">SUM(R36,U36,X36)</f>
        <v>332</v>
      </c>
      <c r="AB36" s="911" t="n">
        <f aca="false">IF(ISERROR(AA36/Z36),"",AA36/Z36)</f>
        <v>0.775248102743724</v>
      </c>
      <c r="AC36" s="903" t="n">
        <f aca="false">IF(ISERROR($D36/12),"",$D36/12)</f>
        <v>142.75</v>
      </c>
      <c r="AD36" s="907"/>
      <c r="AE36" s="912" t="n">
        <f aca="false">IF(ISERROR(AD36/AC36),"",AD36/AC36)</f>
        <v>0</v>
      </c>
      <c r="AF36" s="906" t="n">
        <f aca="false">IF(ISERROR($D36/12),"",$D36/12)</f>
        <v>142.75</v>
      </c>
      <c r="AG36" s="907"/>
      <c r="AH36" s="912" t="n">
        <f aca="false">IF(ISERROR(AG36/AF36),"",AG36/AF36)</f>
        <v>0</v>
      </c>
      <c r="AI36" s="906" t="n">
        <f aca="false">IF(ISERROR($D36/12),"",$D36/12)</f>
        <v>142.75</v>
      </c>
      <c r="AJ36" s="907"/>
      <c r="AK36" s="913" t="n">
        <f aca="false">IF(ISERROR(AJ36/AI36),"",AJ36/AI36)</f>
        <v>0</v>
      </c>
      <c r="AL36" s="915" t="n">
        <f aca="false">SUM(AC36,AF36,AI36)</f>
        <v>428.25</v>
      </c>
      <c r="AM36" s="920" t="n">
        <f aca="false">SUM(AD36,AG36,AJ36)</f>
        <v>0</v>
      </c>
      <c r="AN36" s="911" t="n">
        <f aca="false">IF(ISERROR(AM36/AL36),"",AM36/AL36)</f>
        <v>0</v>
      </c>
      <c r="AO36" s="903" t="n">
        <f aca="false">IF(ISERROR($D36/12),"",$D36/12)</f>
        <v>142.75</v>
      </c>
      <c r="AP36" s="907"/>
      <c r="AQ36" s="912" t="n">
        <f aca="false">IF(ISERROR(AP36/AO36),"",AP36/AO36)</f>
        <v>0</v>
      </c>
      <c r="AR36" s="906" t="n">
        <f aca="false">IF(ISERROR($D36/12),"",$D36/12)</f>
        <v>142.75</v>
      </c>
      <c r="AS36" s="907"/>
      <c r="AT36" s="912" t="n">
        <f aca="false">IF(ISERROR(AS36/AR36),"",AS36/AR36)</f>
        <v>0</v>
      </c>
      <c r="AU36" s="906" t="n">
        <f aca="false">IF(ISERROR($D36/12),"",$D36/12)</f>
        <v>142.75</v>
      </c>
      <c r="AV36" s="907"/>
      <c r="AW36" s="913" t="n">
        <f aca="false">IF(ISERROR(AV36/AU36),"",AV36/AU36)</f>
        <v>0</v>
      </c>
      <c r="AX36" s="909" t="n">
        <f aca="false">SUM(AO36,AR36,AU36)</f>
        <v>428.25</v>
      </c>
      <c r="AY36" s="920" t="n">
        <f aca="false">SUM(AP36,AS36,AV36)</f>
        <v>0</v>
      </c>
      <c r="AZ36" s="911" t="n">
        <f aca="false">IF(ISERROR(AY36/AX36),"",AY36/AX36)</f>
        <v>0</v>
      </c>
      <c r="BA36" s="916" t="n">
        <f aca="false">D36</f>
        <v>1713</v>
      </c>
      <c r="BB36" s="917" t="n">
        <f aca="false">SUM(F36,I36,L36,R36,U36,X36,AD36,AG36,AJ36,AP36,AS36,AV36)</f>
        <v>671</v>
      </c>
      <c r="BC36" s="918" t="n">
        <f aca="false">IF(ISERROR(BB36/BA36),"",BB36/BA36)</f>
        <v>0.391710449503794</v>
      </c>
      <c r="BD36" s="919"/>
      <c r="BE36" s="919"/>
      <c r="BF36" s="919"/>
    </row>
    <row collapsed="false" customFormat="false" customHeight="false" hidden="false" ht="12.8" outlineLevel="0" r="37">
      <c r="A37" s="922"/>
      <c r="B37" s="924" t="str">
        <f aca="false">17_Prog_Produc_2011!B46</f>
        <v>Ortopedia</v>
      </c>
      <c r="C37" s="923" t="s">
        <v>328</v>
      </c>
      <c r="D37" s="921" t="n">
        <f aca="false">17_Prog_Produc_2011!G46</f>
        <v>838</v>
      </c>
      <c r="E37" s="903" t="n">
        <f aca="false">IF(ISERROR($D37/12),"",$D37/12)</f>
        <v>69.8333333333333</v>
      </c>
      <c r="F37" s="907" t="n">
        <v>51</v>
      </c>
      <c r="G37" s="905" t="n">
        <f aca="false">IF(ISERROR(F37/E37),"",F37/E37)</f>
        <v>0.730310262529833</v>
      </c>
      <c r="H37" s="906" t="n">
        <f aca="false">IF(ISERROR($D37/12),"",$D37/12)</f>
        <v>69.8333333333333</v>
      </c>
      <c r="I37" s="907" t="n">
        <v>60</v>
      </c>
      <c r="J37" s="905" t="n">
        <f aca="false">IF(ISERROR(I37/H37),"",I37/H37)</f>
        <v>0.859188544152745</v>
      </c>
      <c r="K37" s="906" t="n">
        <f aca="false">IF(ISERROR($D37/12),"",$D37/12)</f>
        <v>69.8333333333333</v>
      </c>
      <c r="L37" s="907" t="n">
        <v>58</v>
      </c>
      <c r="M37" s="908" t="n">
        <f aca="false">IF(ISERROR(L37/K37),"",L37/K37)</f>
        <v>0.83054892601432</v>
      </c>
      <c r="N37" s="909" t="n">
        <f aca="false">SUM(E37,H37,K37)</f>
        <v>209.5</v>
      </c>
      <c r="O37" s="920" t="n">
        <f aca="false">SUM(F37,I37,L37)</f>
        <v>169</v>
      </c>
      <c r="P37" s="911" t="n">
        <f aca="false">IF(ISERROR(O37/N37),"",O37/N37)</f>
        <v>0.806682577565632</v>
      </c>
      <c r="Q37" s="903" t="n">
        <f aca="false">IF(ISERROR($D37/12),"",$D37/12)</f>
        <v>69.8333333333333</v>
      </c>
      <c r="R37" s="907" t="n">
        <v>70</v>
      </c>
      <c r="S37" s="912" t="n">
        <f aca="false">IF(ISERROR(R37/Q37),"",R37/Q37)</f>
        <v>1.00238663484487</v>
      </c>
      <c r="T37" s="906" t="n">
        <f aca="false">IF(ISERROR($D37/12),"",$D37/12)</f>
        <v>69.8333333333333</v>
      </c>
      <c r="U37" s="907" t="n">
        <v>55</v>
      </c>
      <c r="V37" s="912" t="n">
        <f aca="false">IF(ISERROR(U37/T37),"",U37/T37)</f>
        <v>0.787589498806683</v>
      </c>
      <c r="W37" s="906" t="n">
        <f aca="false">IF(ISERROR($D37/12),"",$D37/12)</f>
        <v>69.8333333333333</v>
      </c>
      <c r="X37" s="907" t="n">
        <v>70</v>
      </c>
      <c r="Y37" s="913" t="n">
        <f aca="false">IF(ISERROR(X37/W37),"",X37/W37)</f>
        <v>1.00238663484487</v>
      </c>
      <c r="Z37" s="909" t="n">
        <f aca="false">SUM(Q37,T37,W37)</f>
        <v>209.5</v>
      </c>
      <c r="AA37" s="920" t="n">
        <f aca="false">SUM(R37,U37,X37)</f>
        <v>195</v>
      </c>
      <c r="AB37" s="911" t="n">
        <f aca="false">IF(ISERROR(AA37/Z37),"",AA37/Z37)</f>
        <v>0.930787589498807</v>
      </c>
      <c r="AC37" s="903" t="n">
        <f aca="false">IF(ISERROR($D37/12),"",$D37/12)</f>
        <v>69.8333333333333</v>
      </c>
      <c r="AD37" s="907"/>
      <c r="AE37" s="912" t="n">
        <f aca="false">IF(ISERROR(AD37/AC37),"",AD37/AC37)</f>
        <v>0</v>
      </c>
      <c r="AF37" s="906" t="n">
        <f aca="false">IF(ISERROR($D37/12),"",$D37/12)</f>
        <v>69.8333333333333</v>
      </c>
      <c r="AG37" s="907"/>
      <c r="AH37" s="912" t="n">
        <f aca="false">IF(ISERROR(AG37/AF37),"",AG37/AF37)</f>
        <v>0</v>
      </c>
      <c r="AI37" s="906" t="n">
        <f aca="false">IF(ISERROR($D37/12),"",$D37/12)</f>
        <v>69.8333333333333</v>
      </c>
      <c r="AJ37" s="907"/>
      <c r="AK37" s="913" t="n">
        <f aca="false">IF(ISERROR(AJ37/AI37),"",AJ37/AI37)</f>
        <v>0</v>
      </c>
      <c r="AL37" s="915" t="n">
        <f aca="false">SUM(AC37,AF37,AI37)</f>
        <v>209.5</v>
      </c>
      <c r="AM37" s="920" t="n">
        <f aca="false">SUM(AD37,AG37,AJ37)</f>
        <v>0</v>
      </c>
      <c r="AN37" s="911" t="n">
        <f aca="false">IF(ISERROR(AM37/AL37),"",AM37/AL37)</f>
        <v>0</v>
      </c>
      <c r="AO37" s="903" t="n">
        <f aca="false">IF(ISERROR($D37/12),"",$D37/12)</f>
        <v>69.8333333333333</v>
      </c>
      <c r="AP37" s="907"/>
      <c r="AQ37" s="912" t="n">
        <f aca="false">IF(ISERROR(AP37/AO37),"",AP37/AO37)</f>
        <v>0</v>
      </c>
      <c r="AR37" s="906" t="n">
        <f aca="false">IF(ISERROR($D37/12),"",$D37/12)</f>
        <v>69.8333333333333</v>
      </c>
      <c r="AS37" s="907"/>
      <c r="AT37" s="912" t="n">
        <f aca="false">IF(ISERROR(AS37/AR37),"",AS37/AR37)</f>
        <v>0</v>
      </c>
      <c r="AU37" s="906" t="n">
        <f aca="false">IF(ISERROR($D37/12),"",$D37/12)</f>
        <v>69.8333333333333</v>
      </c>
      <c r="AV37" s="907"/>
      <c r="AW37" s="913" t="n">
        <f aca="false">IF(ISERROR(AV37/AU37),"",AV37/AU37)</f>
        <v>0</v>
      </c>
      <c r="AX37" s="909" t="n">
        <f aca="false">SUM(AO37,AR37,AU37)</f>
        <v>209.5</v>
      </c>
      <c r="AY37" s="920" t="n">
        <f aca="false">SUM(AP37,AS37,AV37)</f>
        <v>0</v>
      </c>
      <c r="AZ37" s="911" t="n">
        <f aca="false">IF(ISERROR(AY37/AX37),"",AY37/AX37)</f>
        <v>0</v>
      </c>
      <c r="BA37" s="916" t="n">
        <f aca="false">D37</f>
        <v>838</v>
      </c>
      <c r="BB37" s="917" t="n">
        <f aca="false">SUM(F37,I37,L37,R37,U37,X37,AD37,AG37,AJ37,AP37,AS37,AV37)</f>
        <v>364</v>
      </c>
      <c r="BC37" s="918" t="n">
        <f aca="false">IF(ISERROR(BB37/BA37),"",BB37/BA37)</f>
        <v>0.43436754176611</v>
      </c>
      <c r="BD37" s="919"/>
      <c r="BE37" s="919"/>
      <c r="BF37" s="919"/>
    </row>
    <row collapsed="false" customFormat="false" customHeight="false" hidden="false" ht="12.8" outlineLevel="0" r="38">
      <c r="A38" s="922"/>
      <c r="B38" s="924" t="str">
        <f aca="false">17_Prog_Produc_2011!B47</f>
        <v>Otros Servicios (Convenios / BM / ISSS)</v>
      </c>
      <c r="C38" s="923" t="s">
        <v>328</v>
      </c>
      <c r="D38" s="921" t="n">
        <f aca="false">17_Prog_Produc_2011!G47</f>
        <v>1213</v>
      </c>
      <c r="E38" s="903" t="n">
        <f aca="false">IF(ISERROR($D38/12),"",$D38/12)</f>
        <v>101.083333333333</v>
      </c>
      <c r="F38" s="907" t="n">
        <v>71</v>
      </c>
      <c r="G38" s="905" t="n">
        <f aca="false">IF(ISERROR(F38/E38),"",F38/E38)</f>
        <v>0.702390766694147</v>
      </c>
      <c r="H38" s="906" t="n">
        <f aca="false">IF(ISERROR($D38/12),"",$D38/12)</f>
        <v>101.083333333333</v>
      </c>
      <c r="I38" s="907" t="n">
        <v>99</v>
      </c>
      <c r="J38" s="905" t="n">
        <f aca="false">IF(ISERROR(I38/H38),"",I38/H38)</f>
        <v>0.979389942291838</v>
      </c>
      <c r="K38" s="906" t="n">
        <f aca="false">IF(ISERROR($D38/12),"",$D38/12)</f>
        <v>101.083333333333</v>
      </c>
      <c r="L38" s="907" t="n">
        <v>73</v>
      </c>
      <c r="M38" s="908" t="n">
        <f aca="false">IF(ISERROR(L38/K38),"",L38/K38)</f>
        <v>0.722176422093982</v>
      </c>
      <c r="N38" s="909" t="n">
        <f aca="false">SUM(E38,H38,K38)</f>
        <v>303.25</v>
      </c>
      <c r="O38" s="920" t="n">
        <f aca="false">SUM(F38,I38,L38)</f>
        <v>243</v>
      </c>
      <c r="P38" s="911" t="n">
        <f aca="false">IF(ISERROR(O38/N38),"",O38/N38)</f>
        <v>0.801319043693322</v>
      </c>
      <c r="Q38" s="903" t="n">
        <f aca="false">IF(ISERROR($D38/12),"",$D38/12)</f>
        <v>101.083333333333</v>
      </c>
      <c r="R38" s="907" t="n">
        <v>77</v>
      </c>
      <c r="S38" s="912" t="n">
        <f aca="false">IF(ISERROR(R38/Q38),"",R38/Q38)</f>
        <v>0.761747732893652</v>
      </c>
      <c r="T38" s="906" t="n">
        <f aca="false">IF(ISERROR($D38/12),"",$D38/12)</f>
        <v>101.083333333333</v>
      </c>
      <c r="U38" s="907" t="n">
        <v>114</v>
      </c>
      <c r="V38" s="912" t="n">
        <f aca="false">IF(ISERROR(U38/T38),"",U38/T38)</f>
        <v>1.1277823577906</v>
      </c>
      <c r="W38" s="906" t="n">
        <f aca="false">IF(ISERROR($D38/12),"",$D38/12)</f>
        <v>101.083333333333</v>
      </c>
      <c r="X38" s="907" t="n">
        <v>101</v>
      </c>
      <c r="Y38" s="913" t="n">
        <f aca="false">IF(ISERROR(X38/W38),"",X38/W38)</f>
        <v>0.999175597691674</v>
      </c>
      <c r="Z38" s="909" t="n">
        <f aca="false">SUM(Q38,T38,W38)</f>
        <v>303.25</v>
      </c>
      <c r="AA38" s="920" t="n">
        <f aca="false">SUM(R38,U38,X38)</f>
        <v>292</v>
      </c>
      <c r="AB38" s="911" t="n">
        <f aca="false">IF(ISERROR(AA38/Z38),"",AA38/Z38)</f>
        <v>0.962901896125309</v>
      </c>
      <c r="AC38" s="903" t="n">
        <f aca="false">IF(ISERROR($D38/12),"",$D38/12)</f>
        <v>101.083333333333</v>
      </c>
      <c r="AD38" s="907"/>
      <c r="AE38" s="912" t="n">
        <f aca="false">IF(ISERROR(AD38/AC38),"",AD38/AC38)</f>
        <v>0</v>
      </c>
      <c r="AF38" s="906" t="n">
        <f aca="false">IF(ISERROR($D38/12),"",$D38/12)</f>
        <v>101.083333333333</v>
      </c>
      <c r="AG38" s="907"/>
      <c r="AH38" s="912" t="n">
        <f aca="false">IF(ISERROR(AG38/AF38),"",AG38/AF38)</f>
        <v>0</v>
      </c>
      <c r="AI38" s="906" t="n">
        <f aca="false">IF(ISERROR($D38/12),"",$D38/12)</f>
        <v>101.083333333333</v>
      </c>
      <c r="AJ38" s="907"/>
      <c r="AK38" s="913" t="n">
        <f aca="false">IF(ISERROR(AJ38/AI38),"",AJ38/AI38)</f>
        <v>0</v>
      </c>
      <c r="AL38" s="915" t="n">
        <f aca="false">SUM(AC38,AF38,AI38)</f>
        <v>303.25</v>
      </c>
      <c r="AM38" s="920" t="n">
        <f aca="false">SUM(AD38,AG38,AJ38)</f>
        <v>0</v>
      </c>
      <c r="AN38" s="911" t="n">
        <f aca="false">IF(ISERROR(AM38/AL38),"",AM38/AL38)</f>
        <v>0</v>
      </c>
      <c r="AO38" s="903" t="n">
        <f aca="false">IF(ISERROR($D38/12),"",$D38/12)</f>
        <v>101.083333333333</v>
      </c>
      <c r="AP38" s="907"/>
      <c r="AQ38" s="912" t="n">
        <f aca="false">IF(ISERROR(AP38/AO38),"",AP38/AO38)</f>
        <v>0</v>
      </c>
      <c r="AR38" s="906" t="n">
        <f aca="false">IF(ISERROR($D38/12),"",$D38/12)</f>
        <v>101.083333333333</v>
      </c>
      <c r="AS38" s="907"/>
      <c r="AT38" s="912" t="n">
        <f aca="false">IF(ISERROR(AS38/AR38),"",AS38/AR38)</f>
        <v>0</v>
      </c>
      <c r="AU38" s="906" t="n">
        <f aca="false">IF(ISERROR($D38/12),"",$D38/12)</f>
        <v>101.083333333333</v>
      </c>
      <c r="AV38" s="907"/>
      <c r="AW38" s="913" t="n">
        <f aca="false">IF(ISERROR(AV38/AU38),"",AV38/AU38)</f>
        <v>0</v>
      </c>
      <c r="AX38" s="909" t="n">
        <f aca="false">SUM(AO38,AR38,AU38)</f>
        <v>303.25</v>
      </c>
      <c r="AY38" s="920" t="n">
        <f aca="false">SUM(AP38,AS38,AV38)</f>
        <v>0</v>
      </c>
      <c r="AZ38" s="911" t="n">
        <f aca="false">IF(ISERROR(AY38/AX38),"",AY38/AX38)</f>
        <v>0</v>
      </c>
      <c r="BA38" s="916" t="n">
        <f aca="false">D38</f>
        <v>1213</v>
      </c>
      <c r="BB38" s="917" t="n">
        <f aca="false">SUM(F38,I38,L38,R38,U38,X38,AD38,AG38,AJ38,AP38,AS38,AV38)</f>
        <v>535</v>
      </c>
      <c r="BC38" s="918" t="n">
        <f aca="false">IF(ISERROR(BB38/BA38),"",BB38/BA38)</f>
        <v>0.441055234954658</v>
      </c>
      <c r="BD38" s="919"/>
      <c r="BE38" s="919"/>
      <c r="BF38" s="919"/>
    </row>
    <row collapsed="false" customFormat="false" customHeight="true" hidden="false" ht="24.75" outlineLevel="0" r="39">
      <c r="A39" s="922"/>
      <c r="B39" s="900" t="str">
        <f aca="false">17_Prog_Produc_2011!B48</f>
        <v>Centro Quirurgico (Cirugías Mayores)</v>
      </c>
      <c r="C39" s="934"/>
      <c r="D39" s="935"/>
      <c r="E39" s="936"/>
      <c r="F39" s="937"/>
      <c r="G39" s="937"/>
      <c r="H39" s="937"/>
      <c r="I39" s="937"/>
      <c r="J39" s="937"/>
      <c r="K39" s="937"/>
      <c r="L39" s="937"/>
      <c r="M39" s="934"/>
      <c r="N39" s="938"/>
      <c r="O39" s="937"/>
      <c r="P39" s="939"/>
      <c r="Q39" s="936"/>
      <c r="R39" s="937"/>
      <c r="S39" s="937"/>
      <c r="T39" s="937"/>
      <c r="U39" s="937"/>
      <c r="V39" s="937"/>
      <c r="W39" s="937"/>
      <c r="X39" s="937"/>
      <c r="Y39" s="934"/>
      <c r="Z39" s="938"/>
      <c r="AA39" s="937"/>
      <c r="AB39" s="939"/>
      <c r="AC39" s="936"/>
      <c r="AD39" s="937"/>
      <c r="AE39" s="937"/>
      <c r="AF39" s="937"/>
      <c r="AG39" s="937"/>
      <c r="AH39" s="937"/>
      <c r="AI39" s="937"/>
      <c r="AJ39" s="937"/>
      <c r="AK39" s="934"/>
      <c r="AL39" s="938"/>
      <c r="AM39" s="937"/>
      <c r="AN39" s="939"/>
      <c r="AO39" s="936"/>
      <c r="AP39" s="937"/>
      <c r="AQ39" s="937"/>
      <c r="AR39" s="937"/>
      <c r="AS39" s="937"/>
      <c r="AT39" s="937"/>
      <c r="AU39" s="937"/>
      <c r="AV39" s="937"/>
      <c r="AW39" s="934"/>
      <c r="AX39" s="938"/>
      <c r="AY39" s="937"/>
      <c r="AZ39" s="939"/>
      <c r="BA39" s="936"/>
      <c r="BB39" s="937"/>
      <c r="BC39" s="940"/>
      <c r="BD39" s="919"/>
      <c r="BE39" s="919"/>
      <c r="BF39" s="919"/>
    </row>
    <row collapsed="false" customFormat="false" customHeight="false" hidden="false" ht="12.8" outlineLevel="0" r="40">
      <c r="A40" s="922"/>
      <c r="B40" s="924" t="str">
        <f aca="false">17_Prog_Produc_2011!B49</f>
        <v>Electivas para Hospitalización</v>
      </c>
      <c r="C40" s="923" t="s">
        <v>823</v>
      </c>
      <c r="D40" s="921" t="n">
        <f aca="false">17_Prog_Produc_2011!G49</f>
        <v>4817</v>
      </c>
      <c r="E40" s="903" t="n">
        <f aca="false">IF(ISERROR($D40/12),"",$D40/12)</f>
        <v>401.416666666667</v>
      </c>
      <c r="F40" s="907" t="n">
        <v>397</v>
      </c>
      <c r="G40" s="905" t="n">
        <f aca="false">IF(ISERROR(F40/E40),"",F40/E40)</f>
        <v>0.988997301224829</v>
      </c>
      <c r="H40" s="906" t="n">
        <f aca="false">IF(ISERROR($D40/12),"",$D40/12)</f>
        <v>401.416666666667</v>
      </c>
      <c r="I40" s="907" t="n">
        <v>356</v>
      </c>
      <c r="J40" s="905" t="n">
        <f aca="false">IF(ISERROR(I40/H40),"",I40/H40)</f>
        <v>0.886859040896824</v>
      </c>
      <c r="K40" s="906" t="n">
        <f aca="false">IF(ISERROR($D40/12),"",$D40/12)</f>
        <v>401.416666666667</v>
      </c>
      <c r="L40" s="907" t="n">
        <v>513</v>
      </c>
      <c r="M40" s="908" t="n">
        <f aca="false">IF(ISERROR(L40/K40),"",L40/K40)</f>
        <v>1.27797384264065</v>
      </c>
      <c r="N40" s="909" t="n">
        <f aca="false">SUM(E40,H40,K40)</f>
        <v>1204.25</v>
      </c>
      <c r="O40" s="920" t="n">
        <f aca="false">SUM(F40,I40,L40)</f>
        <v>1266</v>
      </c>
      <c r="P40" s="911" t="n">
        <f aca="false">IF(ISERROR(O40/N40),"",O40/N40)</f>
        <v>1.0512767282541</v>
      </c>
      <c r="Q40" s="903" t="n">
        <f aca="false">IF(ISERROR($D40/12),"",$D40/12)</f>
        <v>401.416666666667</v>
      </c>
      <c r="R40" s="907" t="n">
        <v>317</v>
      </c>
      <c r="S40" s="912" t="n">
        <f aca="false">IF(ISERROR(R40/Q40),"",R40/Q40)</f>
        <v>0.78970313473116</v>
      </c>
      <c r="T40" s="906" t="n">
        <f aca="false">IF(ISERROR($D40/12),"",$D40/12)</f>
        <v>401.416666666667</v>
      </c>
      <c r="U40" s="907" t="n">
        <v>417</v>
      </c>
      <c r="V40" s="912" t="n">
        <f aca="false">IF(ISERROR(U40/T40),"",U40/T40)</f>
        <v>1.03882084284825</v>
      </c>
      <c r="W40" s="906" t="n">
        <f aca="false">IF(ISERROR($D40/12),"",$D40/12)</f>
        <v>401.416666666667</v>
      </c>
      <c r="X40" s="907" t="n">
        <v>401</v>
      </c>
      <c r="Y40" s="913" t="n">
        <f aca="false">IF(ISERROR(X40/W40),"",X40/W40)</f>
        <v>0.998962009549512</v>
      </c>
      <c r="Z40" s="909" t="n">
        <f aca="false">SUM(Q40,T40,W40)</f>
        <v>1204.25</v>
      </c>
      <c r="AA40" s="920" t="n">
        <f aca="false">SUM(R40,U40,X40)</f>
        <v>1135</v>
      </c>
      <c r="AB40" s="911" t="n">
        <f aca="false">IF(ISERROR(AA40/Z40),"",AA40/Z40)</f>
        <v>0.942495329042973</v>
      </c>
      <c r="AC40" s="903" t="n">
        <f aca="false">IF(ISERROR($D40/12),"",$D40/12)</f>
        <v>401.416666666667</v>
      </c>
      <c r="AD40" s="907"/>
      <c r="AE40" s="912" t="n">
        <f aca="false">IF(ISERROR(AD40/AC40),"",AD40/AC40)</f>
        <v>0</v>
      </c>
      <c r="AF40" s="906" t="n">
        <f aca="false">IF(ISERROR($D40/12),"",$D40/12)</f>
        <v>401.416666666667</v>
      </c>
      <c r="AG40" s="907"/>
      <c r="AH40" s="912" t="n">
        <f aca="false">IF(ISERROR(AG40/AF40),"",AG40/AF40)</f>
        <v>0</v>
      </c>
      <c r="AI40" s="906" t="n">
        <f aca="false">IF(ISERROR($D40/12),"",$D40/12)</f>
        <v>401.416666666667</v>
      </c>
      <c r="AJ40" s="907"/>
      <c r="AK40" s="913" t="n">
        <f aca="false">IF(ISERROR(AJ40/AI40),"",AJ40/AI40)</f>
        <v>0</v>
      </c>
      <c r="AL40" s="915" t="n">
        <f aca="false">SUM(AC40,AF40,AI40)</f>
        <v>1204.25</v>
      </c>
      <c r="AM40" s="920" t="n">
        <f aca="false">SUM(AD40,AG40,AJ40)</f>
        <v>0</v>
      </c>
      <c r="AN40" s="911" t="n">
        <f aca="false">IF(ISERROR(AM40/AL40),"",AM40/AL40)</f>
        <v>0</v>
      </c>
      <c r="AO40" s="903" t="n">
        <f aca="false">IF(ISERROR($D40/12),"",$D40/12)</f>
        <v>401.416666666667</v>
      </c>
      <c r="AP40" s="907"/>
      <c r="AQ40" s="912" t="n">
        <f aca="false">IF(ISERROR(AP40/AO40),"",AP40/AO40)</f>
        <v>0</v>
      </c>
      <c r="AR40" s="906" t="n">
        <f aca="false">IF(ISERROR($D40/12),"",$D40/12)</f>
        <v>401.416666666667</v>
      </c>
      <c r="AS40" s="907"/>
      <c r="AT40" s="912" t="n">
        <f aca="false">IF(ISERROR(AS40/AR40),"",AS40/AR40)</f>
        <v>0</v>
      </c>
      <c r="AU40" s="906" t="n">
        <f aca="false">IF(ISERROR($D40/12),"",$D40/12)</f>
        <v>401.416666666667</v>
      </c>
      <c r="AV40" s="907"/>
      <c r="AW40" s="913" t="n">
        <f aca="false">IF(ISERROR(AV40/AU40),"",AV40/AU40)</f>
        <v>0</v>
      </c>
      <c r="AX40" s="909" t="n">
        <f aca="false">SUM(AO40,AR40,AU40)</f>
        <v>1204.25</v>
      </c>
      <c r="AY40" s="920" t="n">
        <f aca="false">SUM(AP40,AS40,AV40)</f>
        <v>0</v>
      </c>
      <c r="AZ40" s="911" t="n">
        <f aca="false">IF(ISERROR(AY40/AX40),"",AY40/AX40)</f>
        <v>0</v>
      </c>
      <c r="BA40" s="916" t="n">
        <f aca="false">D40</f>
        <v>4817</v>
      </c>
      <c r="BB40" s="917" t="n">
        <f aca="false">SUM(F40,I40,L40,R40,U40,X40,AD40,AG40,AJ40,AP40,AS40,AV40)</f>
        <v>2401</v>
      </c>
      <c r="BC40" s="918" t="n">
        <f aca="false">IF(ISERROR(BB40/BA40),"",BB40/BA40)</f>
        <v>0.498443014324268</v>
      </c>
      <c r="BD40" s="919"/>
      <c r="BE40" s="919"/>
      <c r="BF40" s="919"/>
    </row>
    <row collapsed="false" customFormat="false" customHeight="false" hidden="false" ht="12.8" outlineLevel="0" r="41">
      <c r="A41" s="922"/>
      <c r="B41" s="924" t="str">
        <f aca="false">17_Prog_Produc_2011!B50</f>
        <v>Electivas Ambulatorias</v>
      </c>
      <c r="C41" s="923" t="s">
        <v>823</v>
      </c>
      <c r="D41" s="921" t="n">
        <f aca="false">17_Prog_Produc_2011!G50</f>
        <v>1873</v>
      </c>
      <c r="E41" s="903" t="n">
        <f aca="false">IF(ISERROR($D41/12),"",$D41/12)</f>
        <v>156.083333333333</v>
      </c>
      <c r="F41" s="907" t="n">
        <v>159</v>
      </c>
      <c r="G41" s="905" t="n">
        <f aca="false">IF(ISERROR(F41/E41),"",F41/E41)</f>
        <v>1.01868659903897</v>
      </c>
      <c r="H41" s="906" t="n">
        <f aca="false">IF(ISERROR($D41/12),"",$D41/12)</f>
        <v>156.083333333333</v>
      </c>
      <c r="I41" s="907" t="n">
        <v>215</v>
      </c>
      <c r="J41" s="905" t="n">
        <f aca="false">IF(ISERROR(I41/H41),"",I41/H41)</f>
        <v>1.37746930058729</v>
      </c>
      <c r="K41" s="906" t="n">
        <f aca="false">IF(ISERROR($D41/12),"",$D41/12)</f>
        <v>156.083333333333</v>
      </c>
      <c r="L41" s="907" t="n">
        <v>185</v>
      </c>
      <c r="M41" s="908" t="n">
        <f aca="false">IF(ISERROR(L41/K41),"",L41/K41)</f>
        <v>1.18526428190069</v>
      </c>
      <c r="N41" s="909" t="n">
        <f aca="false">SUM(E41,H41,K41)</f>
        <v>468.25</v>
      </c>
      <c r="O41" s="920" t="n">
        <f aca="false">SUM(F41,I41,L41)</f>
        <v>559</v>
      </c>
      <c r="P41" s="911" t="n">
        <f aca="false">IF(ISERROR(O41/N41),"",O41/N41)</f>
        <v>1.19380672717565</v>
      </c>
      <c r="Q41" s="903" t="n">
        <f aca="false">IF(ISERROR($D41/12),"",$D41/12)</f>
        <v>156.083333333333</v>
      </c>
      <c r="R41" s="907" t="n">
        <v>152</v>
      </c>
      <c r="S41" s="912" t="n">
        <f aca="false">IF(ISERROR(R41/Q41),"",R41/Q41)</f>
        <v>0.973838761345435</v>
      </c>
      <c r="T41" s="906" t="n">
        <f aca="false">IF(ISERROR($D41/12),"",$D41/12)</f>
        <v>156.083333333333</v>
      </c>
      <c r="U41" s="907" t="n">
        <v>148</v>
      </c>
      <c r="V41" s="912" t="n">
        <f aca="false">IF(ISERROR(U41/T41),"",U41/T41)</f>
        <v>0.948211425520555</v>
      </c>
      <c r="W41" s="906" t="n">
        <f aca="false">IF(ISERROR($D41/12),"",$D41/12)</f>
        <v>156.083333333333</v>
      </c>
      <c r="X41" s="907" t="n">
        <v>165</v>
      </c>
      <c r="Y41" s="913" t="n">
        <f aca="false">IF(ISERROR(X41/W41),"",X41/W41)</f>
        <v>1.05712760277629</v>
      </c>
      <c r="Z41" s="909" t="n">
        <f aca="false">SUM(Q41,T41,W41)</f>
        <v>468.25</v>
      </c>
      <c r="AA41" s="920" t="n">
        <f aca="false">SUM(R41,U41,X41)</f>
        <v>465</v>
      </c>
      <c r="AB41" s="911" t="n">
        <f aca="false">IF(ISERROR(AA41/Z41),"",AA41/Z41)</f>
        <v>0.993059263214095</v>
      </c>
      <c r="AC41" s="903" t="n">
        <f aca="false">IF(ISERROR($D41/12),"",$D41/12)</f>
        <v>156.083333333333</v>
      </c>
      <c r="AD41" s="907"/>
      <c r="AE41" s="912" t="n">
        <f aca="false">IF(ISERROR(AD41/AC41),"",AD41/AC41)</f>
        <v>0</v>
      </c>
      <c r="AF41" s="906" t="n">
        <f aca="false">IF(ISERROR($D41/12),"",$D41/12)</f>
        <v>156.083333333333</v>
      </c>
      <c r="AG41" s="907"/>
      <c r="AH41" s="912" t="n">
        <f aca="false">IF(ISERROR(AG41/AF41),"",AG41/AF41)</f>
        <v>0</v>
      </c>
      <c r="AI41" s="906" t="n">
        <f aca="false">IF(ISERROR($D41/12),"",$D41/12)</f>
        <v>156.083333333333</v>
      </c>
      <c r="AJ41" s="907"/>
      <c r="AK41" s="913" t="n">
        <f aca="false">IF(ISERROR(AJ41/AI41),"",AJ41/AI41)</f>
        <v>0</v>
      </c>
      <c r="AL41" s="915" t="n">
        <f aca="false">SUM(AC41,AF41,AI41)</f>
        <v>468.25</v>
      </c>
      <c r="AM41" s="920" t="n">
        <f aca="false">SUM(AD41,AG41,AJ41)</f>
        <v>0</v>
      </c>
      <c r="AN41" s="911" t="n">
        <f aca="false">IF(ISERROR(AM41/AL41),"",AM41/AL41)</f>
        <v>0</v>
      </c>
      <c r="AO41" s="903" t="n">
        <f aca="false">IF(ISERROR($D41/12),"",$D41/12)</f>
        <v>156.083333333333</v>
      </c>
      <c r="AP41" s="907"/>
      <c r="AQ41" s="912" t="n">
        <f aca="false">IF(ISERROR(AP41/AO41),"",AP41/AO41)</f>
        <v>0</v>
      </c>
      <c r="AR41" s="906" t="n">
        <f aca="false">IF(ISERROR($D41/12),"",$D41/12)</f>
        <v>156.083333333333</v>
      </c>
      <c r="AS41" s="907"/>
      <c r="AT41" s="912" t="n">
        <f aca="false">IF(ISERROR(AS41/AR41),"",AS41/AR41)</f>
        <v>0</v>
      </c>
      <c r="AU41" s="906" t="n">
        <f aca="false">IF(ISERROR($D41/12),"",$D41/12)</f>
        <v>156.083333333333</v>
      </c>
      <c r="AV41" s="907"/>
      <c r="AW41" s="913" t="n">
        <f aca="false">IF(ISERROR(AV41/AU41),"",AV41/AU41)</f>
        <v>0</v>
      </c>
      <c r="AX41" s="909" t="n">
        <f aca="false">SUM(AO41,AR41,AU41)</f>
        <v>468.25</v>
      </c>
      <c r="AY41" s="920" t="n">
        <f aca="false">SUM(AP41,AS41,AV41)</f>
        <v>0</v>
      </c>
      <c r="AZ41" s="911" t="n">
        <f aca="false">IF(ISERROR(AY41/AX41),"",AY41/AX41)</f>
        <v>0</v>
      </c>
      <c r="BA41" s="916" t="n">
        <f aca="false">D41</f>
        <v>1873</v>
      </c>
      <c r="BB41" s="917" t="n">
        <f aca="false">SUM(F41,I41,L41,R41,U41,X41,AD41,AG41,AJ41,AP41,AS41,AV41)</f>
        <v>1024</v>
      </c>
      <c r="BC41" s="918" t="n">
        <f aca="false">IF(ISERROR(BB41/BA41),"",BB41/BA41)</f>
        <v>0.546716497597437</v>
      </c>
      <c r="BD41" s="919"/>
      <c r="BE41" s="919"/>
      <c r="BF41" s="919"/>
    </row>
    <row collapsed="false" customFormat="false" customHeight="false" hidden="false" ht="12.8" outlineLevel="0" r="42">
      <c r="A42" s="922"/>
      <c r="B42" s="924" t="str">
        <f aca="false">17_Prog_Produc_2011!B51</f>
        <v>De Emergencia para Hospitalización</v>
      </c>
      <c r="C42" s="923" t="s">
        <v>823</v>
      </c>
      <c r="D42" s="921" t="n">
        <f aca="false">17_Prog_Produc_2011!G51</f>
        <v>3200</v>
      </c>
      <c r="E42" s="903" t="n">
        <f aca="false">IF(ISERROR($D42/12),"",$D42/12)</f>
        <v>266.666666666667</v>
      </c>
      <c r="F42" s="907" t="n">
        <v>378</v>
      </c>
      <c r="G42" s="905" t="n">
        <f aca="false">IF(ISERROR(F42/E42),"",F42/E42)</f>
        <v>1.4175</v>
      </c>
      <c r="H42" s="906" t="n">
        <f aca="false">IF(ISERROR($D42/12),"",$D42/12)</f>
        <v>266.666666666667</v>
      </c>
      <c r="I42" s="907" t="n">
        <v>388</v>
      </c>
      <c r="J42" s="905" t="n">
        <f aca="false">IF(ISERROR(I42/H42),"",I42/H42)</f>
        <v>1.455</v>
      </c>
      <c r="K42" s="906" t="n">
        <f aca="false">IF(ISERROR($D42/12),"",$D42/12)</f>
        <v>266.666666666667</v>
      </c>
      <c r="L42" s="907" t="n">
        <v>322</v>
      </c>
      <c r="M42" s="908" t="n">
        <f aca="false">IF(ISERROR(L42/K42),"",L42/K42)</f>
        <v>1.2075</v>
      </c>
      <c r="N42" s="909" t="n">
        <f aca="false">SUM(E42,H42,K42)</f>
        <v>800</v>
      </c>
      <c r="O42" s="920" t="n">
        <f aca="false">SUM(F42,I42,L42)</f>
        <v>1088</v>
      </c>
      <c r="P42" s="911" t="n">
        <f aca="false">IF(ISERROR(O42/N42),"",O42/N42)</f>
        <v>1.36</v>
      </c>
      <c r="Q42" s="903" t="n">
        <f aca="false">IF(ISERROR($D42/12),"",$D42/12)</f>
        <v>266.666666666667</v>
      </c>
      <c r="R42" s="907" t="n">
        <v>328</v>
      </c>
      <c r="S42" s="912" t="n">
        <f aca="false">IF(ISERROR(R42/Q42),"",R42/Q42)</f>
        <v>1.23</v>
      </c>
      <c r="T42" s="906" t="n">
        <f aca="false">IF(ISERROR($D42/12),"",$D42/12)</f>
        <v>266.666666666667</v>
      </c>
      <c r="U42" s="907" t="n">
        <v>320</v>
      </c>
      <c r="V42" s="912" t="n">
        <f aca="false">IF(ISERROR(U42/T42),"",U42/T42)</f>
        <v>1.2</v>
      </c>
      <c r="W42" s="906" t="n">
        <f aca="false">IF(ISERROR($D42/12),"",$D42/12)</f>
        <v>266.666666666667</v>
      </c>
      <c r="X42" s="907" t="n">
        <v>328</v>
      </c>
      <c r="Y42" s="913" t="n">
        <f aca="false">IF(ISERROR(X42/W42),"",X42/W42)</f>
        <v>1.23</v>
      </c>
      <c r="Z42" s="909" t="n">
        <f aca="false">SUM(Q42,T42,W42)</f>
        <v>800</v>
      </c>
      <c r="AA42" s="920" t="n">
        <f aca="false">SUM(R42,U42,X42)</f>
        <v>976</v>
      </c>
      <c r="AB42" s="911" t="n">
        <f aca="false">IF(ISERROR(AA42/Z42),"",AA42/Z42)</f>
        <v>1.22</v>
      </c>
      <c r="AC42" s="903" t="n">
        <f aca="false">IF(ISERROR($D42/12),"",$D42/12)</f>
        <v>266.666666666667</v>
      </c>
      <c r="AD42" s="907"/>
      <c r="AE42" s="912" t="n">
        <f aca="false">IF(ISERROR(AD42/AC42),"",AD42/AC42)</f>
        <v>0</v>
      </c>
      <c r="AF42" s="906" t="n">
        <f aca="false">IF(ISERROR($D42/12),"",$D42/12)</f>
        <v>266.666666666667</v>
      </c>
      <c r="AG42" s="907"/>
      <c r="AH42" s="912" t="n">
        <f aca="false">IF(ISERROR(AG42/AF42),"",AG42/AF42)</f>
        <v>0</v>
      </c>
      <c r="AI42" s="906" t="n">
        <f aca="false">IF(ISERROR($D42/12),"",$D42/12)</f>
        <v>266.666666666667</v>
      </c>
      <c r="AJ42" s="907"/>
      <c r="AK42" s="913" t="n">
        <f aca="false">IF(ISERROR(AJ42/AI42),"",AJ42/AI42)</f>
        <v>0</v>
      </c>
      <c r="AL42" s="915" t="n">
        <f aca="false">SUM(AC42,AF42,AI42)</f>
        <v>800</v>
      </c>
      <c r="AM42" s="920" t="n">
        <f aca="false">SUM(AD42,AG42,AJ42)</f>
        <v>0</v>
      </c>
      <c r="AN42" s="911" t="n">
        <f aca="false">IF(ISERROR(AM42/AL42),"",AM42/AL42)</f>
        <v>0</v>
      </c>
      <c r="AO42" s="903" t="n">
        <f aca="false">IF(ISERROR($D42/12),"",$D42/12)</f>
        <v>266.666666666667</v>
      </c>
      <c r="AP42" s="907"/>
      <c r="AQ42" s="912" t="n">
        <f aca="false">IF(ISERROR(AP42/AO42),"",AP42/AO42)</f>
        <v>0</v>
      </c>
      <c r="AR42" s="906" t="n">
        <f aca="false">IF(ISERROR($D42/12),"",$D42/12)</f>
        <v>266.666666666667</v>
      </c>
      <c r="AS42" s="907"/>
      <c r="AT42" s="912" t="n">
        <f aca="false">IF(ISERROR(AS42/AR42),"",AS42/AR42)</f>
        <v>0</v>
      </c>
      <c r="AU42" s="906" t="n">
        <f aca="false">IF(ISERROR($D42/12),"",$D42/12)</f>
        <v>266.666666666667</v>
      </c>
      <c r="AV42" s="907"/>
      <c r="AW42" s="913" t="n">
        <f aca="false">IF(ISERROR(AV42/AU42),"",AV42/AU42)</f>
        <v>0</v>
      </c>
      <c r="AX42" s="909" t="n">
        <f aca="false">SUM(AO42,AR42,AU42)</f>
        <v>800</v>
      </c>
      <c r="AY42" s="920" t="n">
        <f aca="false">SUM(AP42,AS42,AV42)</f>
        <v>0</v>
      </c>
      <c r="AZ42" s="911" t="n">
        <f aca="false">IF(ISERROR(AY42/AX42),"",AY42/AX42)</f>
        <v>0</v>
      </c>
      <c r="BA42" s="916" t="n">
        <f aca="false">D42</f>
        <v>3200</v>
      </c>
      <c r="BB42" s="917" t="n">
        <f aca="false">SUM(F42,I42,L42,R42,U42,X42,AD42,AG42,AJ42,AP42,AS42,AV42)</f>
        <v>2064</v>
      </c>
      <c r="BC42" s="918" t="n">
        <f aca="false">IF(ISERROR(BB42/BA42),"",BB42/BA42)</f>
        <v>0.645</v>
      </c>
      <c r="BD42" s="919"/>
      <c r="BE42" s="919"/>
      <c r="BF42" s="919"/>
    </row>
    <row collapsed="false" customFormat="false" customHeight="false" hidden="false" ht="12.8" outlineLevel="0" r="43">
      <c r="A43" s="922"/>
      <c r="B43" s="924" t="str">
        <f aca="false">17_Prog_Produc_2011!B52</f>
        <v>De Emergencia Ambulatoria</v>
      </c>
      <c r="C43" s="923" t="s">
        <v>823</v>
      </c>
      <c r="D43" s="921" t="n">
        <f aca="false">17_Prog_Produc_2011!G52</f>
        <v>300</v>
      </c>
      <c r="E43" s="903" t="n">
        <f aca="false">IF(ISERROR($D43/12),"",$D43/12)</f>
        <v>25</v>
      </c>
      <c r="F43" s="907" t="n">
        <v>32</v>
      </c>
      <c r="G43" s="905" t="n">
        <f aca="false">IF(ISERROR(F43/E43),"",F43/E43)</f>
        <v>1.28</v>
      </c>
      <c r="H43" s="906" t="n">
        <f aca="false">IF(ISERROR($D43/12),"",$D43/12)</f>
        <v>25</v>
      </c>
      <c r="I43" s="907" t="n">
        <v>46</v>
      </c>
      <c r="J43" s="905" t="n">
        <f aca="false">IF(ISERROR(I43/H43),"",I43/H43)</f>
        <v>1.84</v>
      </c>
      <c r="K43" s="906" t="n">
        <f aca="false">IF(ISERROR($D43/12),"",$D43/12)</f>
        <v>25</v>
      </c>
      <c r="L43" s="907" t="n">
        <v>61</v>
      </c>
      <c r="M43" s="908" t="n">
        <f aca="false">IF(ISERROR(L43/K43),"",L43/K43)</f>
        <v>2.44</v>
      </c>
      <c r="N43" s="909" t="n">
        <f aca="false">SUM(E43,H43,K43)</f>
        <v>75</v>
      </c>
      <c r="O43" s="920" t="n">
        <f aca="false">SUM(F43,I43,L43)</f>
        <v>139</v>
      </c>
      <c r="P43" s="911" t="n">
        <f aca="false">IF(ISERROR(O43/N43),"",O43/N43)</f>
        <v>1.85333333333333</v>
      </c>
      <c r="Q43" s="903" t="n">
        <f aca="false">IF(ISERROR($D43/12),"",$D43/12)</f>
        <v>25</v>
      </c>
      <c r="R43" s="907" t="n">
        <v>35</v>
      </c>
      <c r="S43" s="912" t="n">
        <f aca="false">IF(ISERROR(R43/Q43),"",R43/Q43)</f>
        <v>1.4</v>
      </c>
      <c r="T43" s="906" t="n">
        <f aca="false">IF(ISERROR($D43/12),"",$D43/12)</f>
        <v>25</v>
      </c>
      <c r="U43" s="907" t="n">
        <v>56</v>
      </c>
      <c r="V43" s="912" t="n">
        <f aca="false">IF(ISERROR(U43/T43),"",U43/T43)</f>
        <v>2.24</v>
      </c>
      <c r="W43" s="906" t="n">
        <f aca="false">IF(ISERROR($D43/12),"",$D43/12)</f>
        <v>25</v>
      </c>
      <c r="X43" s="907" t="n">
        <v>71</v>
      </c>
      <c r="Y43" s="913" t="n">
        <f aca="false">IF(ISERROR(X43/W43),"",X43/W43)</f>
        <v>2.84</v>
      </c>
      <c r="Z43" s="909" t="n">
        <f aca="false">SUM(Q43,T43,W43)</f>
        <v>75</v>
      </c>
      <c r="AA43" s="920" t="n">
        <f aca="false">SUM(R43,U43,X43)</f>
        <v>162</v>
      </c>
      <c r="AB43" s="911" t="n">
        <f aca="false">IF(ISERROR(AA43/Z43),"",AA43/Z43)</f>
        <v>2.16</v>
      </c>
      <c r="AC43" s="903" t="n">
        <f aca="false">IF(ISERROR($D43/12),"",$D43/12)</f>
        <v>25</v>
      </c>
      <c r="AD43" s="907"/>
      <c r="AE43" s="912" t="n">
        <f aca="false">IF(ISERROR(AD43/AC43),"",AD43/AC43)</f>
        <v>0</v>
      </c>
      <c r="AF43" s="906" t="n">
        <f aca="false">IF(ISERROR($D43/12),"",$D43/12)</f>
        <v>25</v>
      </c>
      <c r="AG43" s="907"/>
      <c r="AH43" s="912" t="n">
        <f aca="false">IF(ISERROR(AG43/AF43),"",AG43/AF43)</f>
        <v>0</v>
      </c>
      <c r="AI43" s="906" t="n">
        <f aca="false">IF(ISERROR($D43/12),"",$D43/12)</f>
        <v>25</v>
      </c>
      <c r="AJ43" s="907"/>
      <c r="AK43" s="913" t="n">
        <f aca="false">IF(ISERROR(AJ43/AI43),"",AJ43/AI43)</f>
        <v>0</v>
      </c>
      <c r="AL43" s="915" t="n">
        <f aca="false">SUM(AC43,AF43,AI43)</f>
        <v>75</v>
      </c>
      <c r="AM43" s="920" t="n">
        <f aca="false">SUM(AD43,AG43,AJ43)</f>
        <v>0</v>
      </c>
      <c r="AN43" s="911" t="n">
        <f aca="false">IF(ISERROR(AM43/AL43),"",AM43/AL43)</f>
        <v>0</v>
      </c>
      <c r="AO43" s="903" t="n">
        <f aca="false">IF(ISERROR($D43/12),"",$D43/12)</f>
        <v>25</v>
      </c>
      <c r="AP43" s="907"/>
      <c r="AQ43" s="912" t="n">
        <f aca="false">IF(ISERROR(AP43/AO43),"",AP43/AO43)</f>
        <v>0</v>
      </c>
      <c r="AR43" s="906" t="n">
        <f aca="false">IF(ISERROR($D43/12),"",$D43/12)</f>
        <v>25</v>
      </c>
      <c r="AS43" s="907"/>
      <c r="AT43" s="912" t="n">
        <f aca="false">IF(ISERROR(AS43/AR43),"",AS43/AR43)</f>
        <v>0</v>
      </c>
      <c r="AU43" s="906" t="n">
        <f aca="false">IF(ISERROR($D43/12),"",$D43/12)</f>
        <v>25</v>
      </c>
      <c r="AV43" s="907"/>
      <c r="AW43" s="913" t="n">
        <f aca="false">IF(ISERROR(AV43/AU43),"",AV43/AU43)</f>
        <v>0</v>
      </c>
      <c r="AX43" s="909" t="n">
        <f aca="false">SUM(AO43,AR43,AU43)</f>
        <v>75</v>
      </c>
      <c r="AY43" s="920" t="n">
        <f aca="false">SUM(AP43,AS43,AV43)</f>
        <v>0</v>
      </c>
      <c r="AZ43" s="911" t="n">
        <f aca="false">IF(ISERROR(AY43/AX43),"",AY43/AX43)</f>
        <v>0</v>
      </c>
      <c r="BA43" s="916" t="n">
        <f aca="false">D43</f>
        <v>300</v>
      </c>
      <c r="BB43" s="917" t="n">
        <f aca="false">SUM(F43,I43,L43,R43,U43,X43,AD43,AG43,AJ43,AP43,AS43,AV43)</f>
        <v>301</v>
      </c>
      <c r="BC43" s="918" t="n">
        <f aca="false">IF(ISERROR(BB43/BA43),"",BB43/BA43)</f>
        <v>1.00333333333333</v>
      </c>
      <c r="BD43" s="919"/>
      <c r="BE43" s="919"/>
      <c r="BF43" s="919"/>
    </row>
    <row collapsed="false" customFormat="false" customHeight="false" hidden="false" ht="12.8" outlineLevel="0" r="44">
      <c r="A44" s="922"/>
      <c r="B44" s="900" t="str">
        <f aca="false">17_Prog_Produc_2011!B53</f>
        <v>Cuidados Criticos</v>
      </c>
      <c r="C44" s="934"/>
      <c r="D44" s="935"/>
      <c r="E44" s="936"/>
      <c r="F44" s="937"/>
      <c r="G44" s="937"/>
      <c r="H44" s="937"/>
      <c r="I44" s="937"/>
      <c r="J44" s="937"/>
      <c r="K44" s="937"/>
      <c r="L44" s="937"/>
      <c r="M44" s="934"/>
      <c r="N44" s="938"/>
      <c r="O44" s="937"/>
      <c r="P44" s="939"/>
      <c r="Q44" s="936"/>
      <c r="R44" s="937"/>
      <c r="S44" s="937"/>
      <c r="T44" s="937"/>
      <c r="U44" s="937"/>
      <c r="V44" s="937"/>
      <c r="W44" s="937"/>
      <c r="X44" s="937"/>
      <c r="Y44" s="934"/>
      <c r="Z44" s="938"/>
      <c r="AA44" s="937"/>
      <c r="AB44" s="939"/>
      <c r="AC44" s="936"/>
      <c r="AD44" s="937"/>
      <c r="AE44" s="937"/>
      <c r="AF44" s="937"/>
      <c r="AG44" s="937"/>
      <c r="AH44" s="937"/>
      <c r="AI44" s="937"/>
      <c r="AJ44" s="937"/>
      <c r="AK44" s="934"/>
      <c r="AL44" s="938"/>
      <c r="AM44" s="937"/>
      <c r="AN44" s="939"/>
      <c r="AO44" s="936"/>
      <c r="AP44" s="937"/>
      <c r="AQ44" s="937"/>
      <c r="AR44" s="937"/>
      <c r="AS44" s="937"/>
      <c r="AT44" s="937"/>
      <c r="AU44" s="937"/>
      <c r="AV44" s="937"/>
      <c r="AW44" s="934"/>
      <c r="AX44" s="938"/>
      <c r="AY44" s="937"/>
      <c r="AZ44" s="939"/>
      <c r="BA44" s="936"/>
      <c r="BB44" s="937"/>
      <c r="BC44" s="940"/>
      <c r="BD44" s="919"/>
      <c r="BE44" s="919"/>
      <c r="BF44" s="919"/>
    </row>
    <row collapsed="false" customFormat="false" customHeight="false" hidden="false" ht="12.8" outlineLevel="0" r="45">
      <c r="A45" s="922"/>
      <c r="B45" s="941" t="str">
        <f aca="false">17_Prog_Produc_2011!B54</f>
        <v>Unidad de Cuidados Intensivos</v>
      </c>
      <c r="C45" s="923" t="s">
        <v>824</v>
      </c>
      <c r="D45" s="921" t="n">
        <f aca="false">17_Prog_Produc_2011!G54</f>
        <v>942</v>
      </c>
      <c r="E45" s="903" t="n">
        <f aca="false">IF(ISERROR($D45/12),"",$D45/12)</f>
        <v>78.5</v>
      </c>
      <c r="F45" s="907" t="n">
        <v>71</v>
      </c>
      <c r="G45" s="905" t="n">
        <f aca="false">IF(ISERROR(F45/E45),"",F45/E45)</f>
        <v>0.904458598726115</v>
      </c>
      <c r="H45" s="906" t="n">
        <f aca="false">IF(ISERROR($D45/12),"",$D45/12)</f>
        <v>78.5</v>
      </c>
      <c r="I45" s="907" t="n">
        <v>71</v>
      </c>
      <c r="J45" s="905" t="n">
        <f aca="false">IF(ISERROR(I45/H45),"",I45/H45)</f>
        <v>0.904458598726115</v>
      </c>
      <c r="K45" s="906" t="n">
        <f aca="false">IF(ISERROR($D45/12),"",$D45/12)</f>
        <v>78.5</v>
      </c>
      <c r="L45" s="907" t="n">
        <v>90</v>
      </c>
      <c r="M45" s="908" t="n">
        <f aca="false">IF(ISERROR(L45/K45),"",L45/K45)</f>
        <v>1.14649681528662</v>
      </c>
      <c r="N45" s="909" t="n">
        <f aca="false">SUM(E45,H45,K45)</f>
        <v>235.5</v>
      </c>
      <c r="O45" s="920" t="n">
        <f aca="false">SUM(F45,I45,L45)</f>
        <v>232</v>
      </c>
      <c r="P45" s="911" t="n">
        <f aca="false">IF(ISERROR(O45/N45),"",O45/N45)</f>
        <v>0.985138004246284</v>
      </c>
      <c r="Q45" s="903" t="n">
        <f aca="false">IF(ISERROR($D45/12),"",$D45/12)</f>
        <v>78.5</v>
      </c>
      <c r="R45" s="907" t="n">
        <v>65</v>
      </c>
      <c r="S45" s="912" t="n">
        <f aca="false">IF(ISERROR(R45/Q45),"",R45/Q45)</f>
        <v>0.828025477707006</v>
      </c>
      <c r="T45" s="906" t="n">
        <f aca="false">IF(ISERROR($D45/12),"",$D45/12)</f>
        <v>78.5</v>
      </c>
      <c r="U45" s="907" t="n">
        <v>75</v>
      </c>
      <c r="V45" s="912" t="n">
        <f aca="false">IF(ISERROR(U45/T45),"",U45/T45)</f>
        <v>0.955414012738853</v>
      </c>
      <c r="W45" s="906" t="n">
        <f aca="false">IF(ISERROR($D45/12),"",$D45/12)</f>
        <v>78.5</v>
      </c>
      <c r="X45" s="907" t="n">
        <v>79</v>
      </c>
      <c r="Y45" s="913" t="n">
        <f aca="false">IF(ISERROR(X45/W45),"",X45/W45)</f>
        <v>1.00636942675159</v>
      </c>
      <c r="Z45" s="909" t="n">
        <f aca="false">SUM(Q45,T45,W45)</f>
        <v>235.5</v>
      </c>
      <c r="AA45" s="920" t="n">
        <f aca="false">SUM(R45,U45,X45)</f>
        <v>219</v>
      </c>
      <c r="AB45" s="911" t="n">
        <f aca="false">IF(ISERROR(AA45/Z45),"",AA45/Z45)</f>
        <v>0.929936305732484</v>
      </c>
      <c r="AC45" s="903" t="n">
        <f aca="false">IF(ISERROR($D45/12),"",$D45/12)</f>
        <v>78.5</v>
      </c>
      <c r="AD45" s="907"/>
      <c r="AE45" s="912" t="n">
        <f aca="false">IF(ISERROR(AD45/AC45),"",AD45/AC45)</f>
        <v>0</v>
      </c>
      <c r="AF45" s="906" t="n">
        <f aca="false">IF(ISERROR($D45/12),"",$D45/12)</f>
        <v>78.5</v>
      </c>
      <c r="AG45" s="907"/>
      <c r="AH45" s="912" t="n">
        <f aca="false">IF(ISERROR(AG45/AF45),"",AG45/AF45)</f>
        <v>0</v>
      </c>
      <c r="AI45" s="906" t="n">
        <f aca="false">IF(ISERROR($D45/12),"",$D45/12)</f>
        <v>78.5</v>
      </c>
      <c r="AJ45" s="907"/>
      <c r="AK45" s="913" t="n">
        <f aca="false">IF(ISERROR(AJ45/AI45),"",AJ45/AI45)</f>
        <v>0</v>
      </c>
      <c r="AL45" s="915" t="n">
        <f aca="false">SUM(AC45,AF45,AI45)</f>
        <v>235.5</v>
      </c>
      <c r="AM45" s="920" t="n">
        <f aca="false">SUM(AD45,AG45,AJ45)</f>
        <v>0</v>
      </c>
      <c r="AN45" s="911" t="n">
        <f aca="false">IF(ISERROR(AM45/AL45),"",AM45/AL45)</f>
        <v>0</v>
      </c>
      <c r="AO45" s="903" t="n">
        <f aca="false">IF(ISERROR($D45/12),"",$D45/12)</f>
        <v>78.5</v>
      </c>
      <c r="AP45" s="907"/>
      <c r="AQ45" s="912" t="n">
        <f aca="false">IF(ISERROR(AP45/AO45),"",AP45/AO45)</f>
        <v>0</v>
      </c>
      <c r="AR45" s="906" t="n">
        <f aca="false">IF(ISERROR($D45/12),"",$D45/12)</f>
        <v>78.5</v>
      </c>
      <c r="AS45" s="907"/>
      <c r="AT45" s="912" t="n">
        <f aca="false">IF(ISERROR(AS45/AR45),"",AS45/AR45)</f>
        <v>0</v>
      </c>
      <c r="AU45" s="906" t="n">
        <f aca="false">IF(ISERROR($D45/12),"",$D45/12)</f>
        <v>78.5</v>
      </c>
      <c r="AV45" s="907"/>
      <c r="AW45" s="913" t="n">
        <f aca="false">IF(ISERROR(AV45/AU45),"",AV45/AU45)</f>
        <v>0</v>
      </c>
      <c r="AX45" s="909" t="n">
        <f aca="false">SUM(AO45,AR45,AU45)</f>
        <v>235.5</v>
      </c>
      <c r="AY45" s="920" t="n">
        <f aca="false">SUM(AP45,AS45,AV45)</f>
        <v>0</v>
      </c>
      <c r="AZ45" s="911" t="n">
        <f aca="false">IF(ISERROR(AY45/AX45),"",AY45/AX45)</f>
        <v>0</v>
      </c>
      <c r="BA45" s="916" t="n">
        <f aca="false">D45</f>
        <v>942</v>
      </c>
      <c r="BB45" s="917" t="n">
        <f aca="false">SUM(F45,I45,L45,R45,U45,X45,AD45,AG45,AJ45,AP45,AS45,AV45)</f>
        <v>451</v>
      </c>
      <c r="BC45" s="918" t="n">
        <f aca="false">IF(ISERROR(BB45/BA45),"",BB45/BA45)</f>
        <v>0.478768577494692</v>
      </c>
      <c r="BD45" s="919"/>
      <c r="BE45" s="919"/>
      <c r="BF45" s="919"/>
    </row>
    <row collapsed="false" customFormat="false" customHeight="false" hidden="false" ht="12.8" outlineLevel="0" r="46">
      <c r="A46" s="922"/>
      <c r="B46" s="941" t="str">
        <f aca="false">17_Prog_Produc_2011!B55</f>
        <v>Unidad de Cuidados Intermedios</v>
      </c>
      <c r="C46" s="923" t="s">
        <v>824</v>
      </c>
      <c r="D46" s="921" t="n">
        <f aca="false">17_Prog_Produc_2011!G55</f>
        <v>244</v>
      </c>
      <c r="E46" s="903" t="n">
        <f aca="false">IF(ISERROR($D46/12),"",$D46/12)</f>
        <v>20.3333333333333</v>
      </c>
      <c r="F46" s="907" t="n">
        <v>19</v>
      </c>
      <c r="G46" s="905" t="n">
        <f aca="false">IF(ISERROR(F46/E46),"",F46/E46)</f>
        <v>0.934426229508197</v>
      </c>
      <c r="H46" s="906" t="n">
        <f aca="false">IF(ISERROR($D46/12),"",$D46/12)</f>
        <v>20.3333333333333</v>
      </c>
      <c r="I46" s="907" t="n">
        <v>23</v>
      </c>
      <c r="J46" s="905" t="n">
        <f aca="false">IF(ISERROR(I46/H46),"",I46/H46)</f>
        <v>1.13114754098361</v>
      </c>
      <c r="K46" s="906" t="n">
        <f aca="false">IF(ISERROR($D46/12),"",$D46/12)</f>
        <v>20.3333333333333</v>
      </c>
      <c r="L46" s="907" t="n">
        <v>18</v>
      </c>
      <c r="M46" s="908" t="n">
        <f aca="false">IF(ISERROR(L46/K46),"",L46/K46)</f>
        <v>0.885245901639344</v>
      </c>
      <c r="N46" s="909" t="n">
        <f aca="false">SUM(E46,H46,K46)</f>
        <v>61</v>
      </c>
      <c r="O46" s="920" t="n">
        <f aca="false">SUM(F46,I46,L46)</f>
        <v>60</v>
      </c>
      <c r="P46" s="911" t="n">
        <f aca="false">IF(ISERROR(O46/N46),"",O46/N46)</f>
        <v>0.983606557377049</v>
      </c>
      <c r="Q46" s="903" t="n">
        <f aca="false">IF(ISERROR($D46/12),"",$D46/12)</f>
        <v>20.3333333333333</v>
      </c>
      <c r="R46" s="907" t="n">
        <v>17</v>
      </c>
      <c r="S46" s="912" t="n">
        <f aca="false">IF(ISERROR(R46/Q46),"",R46/Q46)</f>
        <v>0.836065573770492</v>
      </c>
      <c r="T46" s="906" t="n">
        <f aca="false">IF(ISERROR($D46/12),"",$D46/12)</f>
        <v>20.3333333333333</v>
      </c>
      <c r="U46" s="907" t="n">
        <v>22</v>
      </c>
      <c r="V46" s="912" t="n">
        <f aca="false">IF(ISERROR(U46/T46),"",U46/T46)</f>
        <v>1.08196721311475</v>
      </c>
      <c r="W46" s="906" t="n">
        <f aca="false">IF(ISERROR($D46/12),"",$D46/12)</f>
        <v>20.3333333333333</v>
      </c>
      <c r="X46" s="907" t="n">
        <v>13</v>
      </c>
      <c r="Y46" s="913" t="n">
        <f aca="false">IF(ISERROR(X46/W46),"",X46/W46)</f>
        <v>0.639344262295082</v>
      </c>
      <c r="Z46" s="909" t="n">
        <f aca="false">SUM(Q46,T46,W46)</f>
        <v>61</v>
      </c>
      <c r="AA46" s="920" t="n">
        <f aca="false">SUM(R46,U46,X46)</f>
        <v>52</v>
      </c>
      <c r="AB46" s="911" t="n">
        <f aca="false">IF(ISERROR(AA46/Z46),"",AA46/Z46)</f>
        <v>0.852459016393443</v>
      </c>
      <c r="AC46" s="903" t="n">
        <f aca="false">IF(ISERROR($D46/12),"",$D46/12)</f>
        <v>20.3333333333333</v>
      </c>
      <c r="AD46" s="907"/>
      <c r="AE46" s="912" t="n">
        <f aca="false">IF(ISERROR(AD46/AC46),"",AD46/AC46)</f>
        <v>0</v>
      </c>
      <c r="AF46" s="906" t="n">
        <f aca="false">IF(ISERROR($D46/12),"",$D46/12)</f>
        <v>20.3333333333333</v>
      </c>
      <c r="AG46" s="907"/>
      <c r="AH46" s="912" t="n">
        <f aca="false">IF(ISERROR(AG46/AF46),"",AG46/AF46)</f>
        <v>0</v>
      </c>
      <c r="AI46" s="906" t="n">
        <f aca="false">IF(ISERROR($D46/12),"",$D46/12)</f>
        <v>20.3333333333333</v>
      </c>
      <c r="AJ46" s="907"/>
      <c r="AK46" s="913" t="n">
        <f aca="false">IF(ISERROR(AJ46/AI46),"",AJ46/AI46)</f>
        <v>0</v>
      </c>
      <c r="AL46" s="915" t="n">
        <f aca="false">SUM(AC46,AF46,AI46)</f>
        <v>61</v>
      </c>
      <c r="AM46" s="920" t="n">
        <f aca="false">SUM(AD46,AG46,AJ46)</f>
        <v>0</v>
      </c>
      <c r="AN46" s="911" t="n">
        <f aca="false">IF(ISERROR(AM46/AL46),"",AM46/AL46)</f>
        <v>0</v>
      </c>
      <c r="AO46" s="903" t="n">
        <f aca="false">IF(ISERROR($D46/12),"",$D46/12)</f>
        <v>20.3333333333333</v>
      </c>
      <c r="AP46" s="907"/>
      <c r="AQ46" s="912" t="n">
        <f aca="false">IF(ISERROR(AP46/AO46),"",AP46/AO46)</f>
        <v>0</v>
      </c>
      <c r="AR46" s="906" t="n">
        <f aca="false">IF(ISERROR($D46/12),"",$D46/12)</f>
        <v>20.3333333333333</v>
      </c>
      <c r="AS46" s="907"/>
      <c r="AT46" s="912" t="n">
        <f aca="false">IF(ISERROR(AS46/AR46),"",AS46/AR46)</f>
        <v>0</v>
      </c>
      <c r="AU46" s="906" t="n">
        <f aca="false">IF(ISERROR($D46/12),"",$D46/12)</f>
        <v>20.3333333333333</v>
      </c>
      <c r="AV46" s="907"/>
      <c r="AW46" s="913" t="n">
        <f aca="false">IF(ISERROR(AV46/AU46),"",AV46/AU46)</f>
        <v>0</v>
      </c>
      <c r="AX46" s="909" t="n">
        <f aca="false">SUM(AO46,AR46,AU46)</f>
        <v>61</v>
      </c>
      <c r="AY46" s="920" t="n">
        <f aca="false">SUM(AP46,AS46,AV46)</f>
        <v>0</v>
      </c>
      <c r="AZ46" s="911" t="n">
        <f aca="false">IF(ISERROR(AY46/AX46),"",AY46/AX46)</f>
        <v>0</v>
      </c>
      <c r="BA46" s="916" t="n">
        <f aca="false">D46</f>
        <v>244</v>
      </c>
      <c r="BB46" s="917" t="n">
        <f aca="false">SUM(F46,I46,L46,R46,U46,X46,AD46,AG46,AJ46,AP46,AS46,AV46)</f>
        <v>112</v>
      </c>
      <c r="BC46" s="918" t="n">
        <f aca="false">IF(ISERROR(BB46/BA46),"",BB46/BA46)</f>
        <v>0.459016393442623</v>
      </c>
      <c r="BD46" s="919"/>
      <c r="BE46" s="919"/>
      <c r="BF46" s="919"/>
    </row>
    <row collapsed="false" customFormat="false" customHeight="false" hidden="false" ht="12.8" outlineLevel="0" r="47">
      <c r="A47" s="922"/>
      <c r="B47" s="941" t="str">
        <f aca="false">17_Prog_Produc_2011!B56</f>
        <v>Unidad de Cuidados Intensivos Neonatales</v>
      </c>
      <c r="C47" s="923" t="s">
        <v>824</v>
      </c>
      <c r="D47" s="921" t="n">
        <f aca="false">17_Prog_Produc_2011!G56</f>
        <v>474</v>
      </c>
      <c r="E47" s="903" t="n">
        <f aca="false">IF(ISERROR($D47/12),"",$D47/12)</f>
        <v>39.5</v>
      </c>
      <c r="F47" s="907" t="n">
        <v>37</v>
      </c>
      <c r="G47" s="905" t="n">
        <f aca="false">IF(ISERROR(F47/E47),"",F47/E47)</f>
        <v>0.936708860759494</v>
      </c>
      <c r="H47" s="906" t="n">
        <f aca="false">IF(ISERROR($D47/12),"",$D47/12)</f>
        <v>39.5</v>
      </c>
      <c r="I47" s="907" t="n">
        <v>33</v>
      </c>
      <c r="J47" s="905" t="n">
        <f aca="false">IF(ISERROR(I47/H47),"",I47/H47)</f>
        <v>0.835443037974684</v>
      </c>
      <c r="K47" s="906" t="n">
        <f aca="false">IF(ISERROR($D47/12),"",$D47/12)</f>
        <v>39.5</v>
      </c>
      <c r="L47" s="907" t="n">
        <v>31</v>
      </c>
      <c r="M47" s="908" t="n">
        <f aca="false">IF(ISERROR(L47/K47),"",L47/K47)</f>
        <v>0.784810126582278</v>
      </c>
      <c r="N47" s="909" t="n">
        <f aca="false">SUM(E47,H47,K47)</f>
        <v>118.5</v>
      </c>
      <c r="O47" s="920" t="n">
        <f aca="false">SUM(F47,I47,L47)</f>
        <v>101</v>
      </c>
      <c r="P47" s="911" t="n">
        <f aca="false">IF(ISERROR(O47/N47),"",O47/N47)</f>
        <v>0.852320675105485</v>
      </c>
      <c r="Q47" s="903" t="n">
        <f aca="false">IF(ISERROR($D47/12),"",$D47/12)</f>
        <v>39.5</v>
      </c>
      <c r="R47" s="907" t="n">
        <v>34</v>
      </c>
      <c r="S47" s="912" t="n">
        <f aca="false">IF(ISERROR(R47/Q47),"",R47/Q47)</f>
        <v>0.860759493670886</v>
      </c>
      <c r="T47" s="906" t="n">
        <f aca="false">IF(ISERROR($D47/12),"",$D47/12)</f>
        <v>39.5</v>
      </c>
      <c r="U47" s="907" t="n">
        <v>33</v>
      </c>
      <c r="V47" s="912" t="n">
        <f aca="false">IF(ISERROR(U47/T47),"",U47/T47)</f>
        <v>0.835443037974684</v>
      </c>
      <c r="W47" s="906" t="n">
        <f aca="false">IF(ISERROR($D47/12),"",$D47/12)</f>
        <v>39.5</v>
      </c>
      <c r="X47" s="907" t="n">
        <v>36</v>
      </c>
      <c r="Y47" s="913" t="n">
        <f aca="false">IF(ISERROR(X47/W47),"",X47/W47)</f>
        <v>0.911392405063291</v>
      </c>
      <c r="Z47" s="909" t="n">
        <f aca="false">SUM(Q47,T47,W47)</f>
        <v>118.5</v>
      </c>
      <c r="AA47" s="920" t="n">
        <f aca="false">SUM(R47,U47,X47)</f>
        <v>103</v>
      </c>
      <c r="AB47" s="911" t="n">
        <f aca="false">IF(ISERROR(AA47/Z47),"",AA47/Z47)</f>
        <v>0.869198312236287</v>
      </c>
      <c r="AC47" s="903" t="n">
        <f aca="false">IF(ISERROR($D47/12),"",$D47/12)</f>
        <v>39.5</v>
      </c>
      <c r="AD47" s="907"/>
      <c r="AE47" s="912" t="n">
        <f aca="false">IF(ISERROR(AD47/AC47),"",AD47/AC47)</f>
        <v>0</v>
      </c>
      <c r="AF47" s="906" t="n">
        <f aca="false">IF(ISERROR($D47/12),"",$D47/12)</f>
        <v>39.5</v>
      </c>
      <c r="AG47" s="907"/>
      <c r="AH47" s="912" t="n">
        <f aca="false">IF(ISERROR(AG47/AF47),"",AG47/AF47)</f>
        <v>0</v>
      </c>
      <c r="AI47" s="906" t="n">
        <f aca="false">IF(ISERROR($D47/12),"",$D47/12)</f>
        <v>39.5</v>
      </c>
      <c r="AJ47" s="907"/>
      <c r="AK47" s="913" t="n">
        <f aca="false">IF(ISERROR(AJ47/AI47),"",AJ47/AI47)</f>
        <v>0</v>
      </c>
      <c r="AL47" s="915" t="n">
        <f aca="false">SUM(AC47,AF47,AI47)</f>
        <v>118.5</v>
      </c>
      <c r="AM47" s="920" t="n">
        <f aca="false">SUM(AD47,AG47,AJ47)</f>
        <v>0</v>
      </c>
      <c r="AN47" s="911" t="n">
        <f aca="false">IF(ISERROR(AM47/AL47),"",AM47/AL47)</f>
        <v>0</v>
      </c>
      <c r="AO47" s="903" t="n">
        <f aca="false">IF(ISERROR($D47/12),"",$D47/12)</f>
        <v>39.5</v>
      </c>
      <c r="AP47" s="907"/>
      <c r="AQ47" s="912" t="n">
        <f aca="false">IF(ISERROR(AP47/AO47),"",AP47/AO47)</f>
        <v>0</v>
      </c>
      <c r="AR47" s="906" t="n">
        <f aca="false">IF(ISERROR($D47/12),"",$D47/12)</f>
        <v>39.5</v>
      </c>
      <c r="AS47" s="907"/>
      <c r="AT47" s="912" t="n">
        <f aca="false">IF(ISERROR(AS47/AR47),"",AS47/AR47)</f>
        <v>0</v>
      </c>
      <c r="AU47" s="906" t="n">
        <f aca="false">IF(ISERROR($D47/12),"",$D47/12)</f>
        <v>39.5</v>
      </c>
      <c r="AV47" s="907"/>
      <c r="AW47" s="913" t="n">
        <f aca="false">IF(ISERROR(AV47/AU47),"",AV47/AU47)</f>
        <v>0</v>
      </c>
      <c r="AX47" s="909" t="n">
        <f aca="false">SUM(AO47,AR47,AU47)</f>
        <v>118.5</v>
      </c>
      <c r="AY47" s="920" t="n">
        <f aca="false">SUM(AP47,AS47,AV47)</f>
        <v>0</v>
      </c>
      <c r="AZ47" s="911" t="n">
        <f aca="false">IF(ISERROR(AY47/AX47),"",AY47/AX47)</f>
        <v>0</v>
      </c>
      <c r="BA47" s="916" t="n">
        <f aca="false">D47</f>
        <v>474</v>
      </c>
      <c r="BB47" s="917" t="n">
        <f aca="false">SUM(F47,I47,L47,R47,U47,X47,AD47,AG47,AJ47,AP47,AS47,AV47)</f>
        <v>204</v>
      </c>
      <c r="BC47" s="918" t="n">
        <f aca="false">IF(ISERROR(BB47/BA47),"",BB47/BA47)</f>
        <v>0.430379746835443</v>
      </c>
      <c r="BD47" s="919"/>
      <c r="BE47" s="919"/>
      <c r="BF47" s="919"/>
    </row>
    <row collapsed="false" customFormat="false" customHeight="false" hidden="false" ht="12.8" outlineLevel="0" r="48">
      <c r="A48" s="922"/>
      <c r="B48" s="925" t="s">
        <v>825</v>
      </c>
      <c r="C48" s="926"/>
      <c r="D48" s="927"/>
      <c r="E48" s="903"/>
      <c r="F48" s="906"/>
      <c r="G48" s="928"/>
      <c r="H48" s="906"/>
      <c r="I48" s="906"/>
      <c r="J48" s="928"/>
      <c r="K48" s="906"/>
      <c r="L48" s="906"/>
      <c r="M48" s="929"/>
      <c r="N48" s="915"/>
      <c r="O48" s="906"/>
      <c r="P48" s="930"/>
      <c r="Q48" s="903"/>
      <c r="R48" s="906"/>
      <c r="S48" s="931"/>
      <c r="T48" s="906"/>
      <c r="U48" s="906"/>
      <c r="V48" s="931"/>
      <c r="W48" s="906"/>
      <c r="X48" s="906"/>
      <c r="Y48" s="932"/>
      <c r="Z48" s="915"/>
      <c r="AA48" s="906"/>
      <c r="AB48" s="930"/>
      <c r="AC48" s="903"/>
      <c r="AD48" s="906"/>
      <c r="AE48" s="931"/>
      <c r="AF48" s="906"/>
      <c r="AG48" s="906"/>
      <c r="AH48" s="931"/>
      <c r="AI48" s="906"/>
      <c r="AJ48" s="906"/>
      <c r="AK48" s="932"/>
      <c r="AL48" s="915"/>
      <c r="AM48" s="906"/>
      <c r="AN48" s="930"/>
      <c r="AO48" s="903"/>
      <c r="AP48" s="906"/>
      <c r="AQ48" s="931"/>
      <c r="AR48" s="906"/>
      <c r="AS48" s="906"/>
      <c r="AT48" s="931"/>
      <c r="AU48" s="906"/>
      <c r="AV48" s="906"/>
      <c r="AW48" s="932"/>
      <c r="AX48" s="915"/>
      <c r="AY48" s="906"/>
      <c r="AZ48" s="930"/>
      <c r="BA48" s="903"/>
      <c r="BB48" s="906"/>
      <c r="BC48" s="933"/>
      <c r="BD48" s="919"/>
      <c r="BE48" s="919"/>
      <c r="BF48" s="919"/>
    </row>
    <row collapsed="false" customFormat="false" customHeight="false" hidden="false" ht="12.8" outlineLevel="0" r="49">
      <c r="A49" s="922"/>
      <c r="B49" s="942" t="str">
        <f aca="false">18_Prog_Scios_Intermedios!F$3</f>
        <v>LABORATORIO CLINICO GENERAL</v>
      </c>
      <c r="C49" s="923" t="s">
        <v>446</v>
      </c>
      <c r="D49" s="921" t="n">
        <f aca="false">18_Prog_Scios_Intermedios!F33</f>
        <v>569646</v>
      </c>
      <c r="E49" s="903" t="n">
        <f aca="false">IF(ISERROR($D49/12),"",$D49/12)</f>
        <v>47470.5</v>
      </c>
      <c r="F49" s="907" t="n">
        <v>60016</v>
      </c>
      <c r="G49" s="905" t="n">
        <f aca="false">IF(ISERROR(F49/E49),"",F49/E49)</f>
        <v>1.26427992121423</v>
      </c>
      <c r="H49" s="906" t="n">
        <f aca="false">IF(ISERROR($D49/12),"",$D49/12)</f>
        <v>47470.5</v>
      </c>
      <c r="I49" s="907" t="n">
        <v>58427</v>
      </c>
      <c r="J49" s="905" t="n">
        <f aca="false">IF(ISERROR(I49/H49),"",I49/H49)</f>
        <v>1.23080650087949</v>
      </c>
      <c r="K49" s="906" t="n">
        <f aca="false">IF(ISERROR($D49/12),"",$D49/12)</f>
        <v>47470.5</v>
      </c>
      <c r="L49" s="907" t="n">
        <v>63774</v>
      </c>
      <c r="M49" s="908" t="n">
        <f aca="false">IF(ISERROR(L49/K49),"",L49/K49)</f>
        <v>1.34344487629159</v>
      </c>
      <c r="N49" s="909" t="n">
        <f aca="false">SUM(E49,H49,K49)</f>
        <v>142411.5</v>
      </c>
      <c r="O49" s="920" t="n">
        <f aca="false">SUM(F49,I49,L49)</f>
        <v>182217</v>
      </c>
      <c r="P49" s="911" t="n">
        <f aca="false">IF(ISERROR(O49/N49),"",O49/N49)</f>
        <v>1.2795104327951</v>
      </c>
      <c r="Q49" s="903" t="n">
        <f aca="false">IF(ISERROR($D49/12),"",$D49/12)</f>
        <v>47470.5</v>
      </c>
      <c r="R49" s="907" t="n">
        <v>60060</v>
      </c>
      <c r="S49" s="912" t="n">
        <f aca="false">IF(ISERROR(R49/Q49),"",R49/Q49)</f>
        <v>1.26520681265207</v>
      </c>
      <c r="T49" s="906" t="n">
        <f aca="false">IF(ISERROR($D49/12),"",$D49/12)</f>
        <v>47470.5</v>
      </c>
      <c r="U49" s="907" t="n">
        <v>69042</v>
      </c>
      <c r="V49" s="912" t="n">
        <f aca="false">IF(ISERROR(U49/T49),"",U49/T49)</f>
        <v>1.45441906025848</v>
      </c>
      <c r="W49" s="906" t="n">
        <f aca="false">IF(ISERROR($D49/12),"",$D49/12)</f>
        <v>47470.5</v>
      </c>
      <c r="X49" s="907" t="n">
        <v>63703</v>
      </c>
      <c r="Y49" s="913" t="n">
        <f aca="false">IF(ISERROR(X49/W49),"",X49/W49)</f>
        <v>1.34194921056235</v>
      </c>
      <c r="Z49" s="909" t="n">
        <f aca="false">SUM(Q49,T49,W49)</f>
        <v>142411.5</v>
      </c>
      <c r="AA49" s="920" t="n">
        <f aca="false">SUM(R49,U49,X49)</f>
        <v>192805</v>
      </c>
      <c r="AB49" s="911" t="n">
        <f aca="false">IF(ISERROR(AA49/Z49),"",AA49/Z49)</f>
        <v>1.35385836115763</v>
      </c>
      <c r="AC49" s="903" t="n">
        <f aca="false">IF(ISERROR($D49/12),"",$D49/12)</f>
        <v>47470.5</v>
      </c>
      <c r="AD49" s="907"/>
      <c r="AE49" s="912" t="n">
        <f aca="false">IF(ISERROR(AD49/AC49),"",AD49/AC49)</f>
        <v>0</v>
      </c>
      <c r="AF49" s="906" t="n">
        <f aca="false">IF(ISERROR($D49/12),"",$D49/12)</f>
        <v>47470.5</v>
      </c>
      <c r="AG49" s="907"/>
      <c r="AH49" s="912" t="n">
        <f aca="false">IF(ISERROR(AG49/AF49),"",AG49/AF49)</f>
        <v>0</v>
      </c>
      <c r="AI49" s="906" t="n">
        <f aca="false">IF(ISERROR($D49/12),"",$D49/12)</f>
        <v>47470.5</v>
      </c>
      <c r="AJ49" s="907"/>
      <c r="AK49" s="913" t="n">
        <f aca="false">IF(ISERROR(AJ49/AI49),"",AJ49/AI49)</f>
        <v>0</v>
      </c>
      <c r="AL49" s="915" t="n">
        <f aca="false">SUM(AC49,AF49,AI49)</f>
        <v>142411.5</v>
      </c>
      <c r="AM49" s="920" t="n">
        <f aca="false">SUM(AD49,AG49,AJ49)</f>
        <v>0</v>
      </c>
      <c r="AN49" s="911" t="n">
        <f aca="false">IF(ISERROR(AM49/AL49),"",AM49/AL49)</f>
        <v>0</v>
      </c>
      <c r="AO49" s="903" t="n">
        <f aca="false">IF(ISERROR($D49/12),"",$D49/12)</f>
        <v>47470.5</v>
      </c>
      <c r="AP49" s="907"/>
      <c r="AQ49" s="912" t="n">
        <f aca="false">IF(ISERROR(AP49/AO49),"",AP49/AO49)</f>
        <v>0</v>
      </c>
      <c r="AR49" s="906" t="n">
        <f aca="false">IF(ISERROR($D49/12),"",$D49/12)</f>
        <v>47470.5</v>
      </c>
      <c r="AS49" s="907"/>
      <c r="AT49" s="912" t="n">
        <f aca="false">IF(ISERROR(AS49/AR49),"",AS49/AR49)</f>
        <v>0</v>
      </c>
      <c r="AU49" s="906" t="n">
        <f aca="false">IF(ISERROR($D49/12),"",$D49/12)</f>
        <v>47470.5</v>
      </c>
      <c r="AV49" s="907"/>
      <c r="AW49" s="913" t="n">
        <f aca="false">IF(ISERROR(AV49/AU49),"",AV49/AU49)</f>
        <v>0</v>
      </c>
      <c r="AX49" s="909" t="n">
        <f aca="false">SUM(AO49,AR49,AU49)</f>
        <v>142411.5</v>
      </c>
      <c r="AY49" s="920" t="n">
        <f aca="false">SUM(AP49,AS49,AV49)</f>
        <v>0</v>
      </c>
      <c r="AZ49" s="911" t="n">
        <f aca="false">IF(ISERROR(AY49/AX49),"",AY49/AX49)</f>
        <v>0</v>
      </c>
      <c r="BA49" s="916" t="n">
        <f aca="false">D49</f>
        <v>569646</v>
      </c>
      <c r="BB49" s="917" t="n">
        <f aca="false">SUM(F49,I49,L49,R49,U49,X49,AD49,AG49,AJ49,AP49,AS49,AV49)</f>
        <v>375022</v>
      </c>
      <c r="BC49" s="918" t="n">
        <f aca="false">IF(ISERROR(BB49/BA49),"",BB49/BA49)</f>
        <v>0.658342198488184</v>
      </c>
      <c r="BD49" s="919"/>
      <c r="BE49" s="919"/>
      <c r="BF49" s="919"/>
    </row>
    <row collapsed="false" customFormat="false" customHeight="false" hidden="false" ht="12.8" outlineLevel="0" r="50">
      <c r="A50" s="922"/>
      <c r="B50" s="942" t="str">
        <f aca="false">18_Prog_Scios_Intermedios!I$3</f>
        <v>LABORATORIO CLINICO ESPECIALIZADO</v>
      </c>
      <c r="C50" s="923" t="s">
        <v>446</v>
      </c>
      <c r="D50" s="921" t="n">
        <f aca="false">18_Prog_Scios_Intermedios!I33</f>
        <v>1949</v>
      </c>
      <c r="E50" s="903" t="n">
        <f aca="false">IF(ISERROR($D50/12),"",$D50/12)</f>
        <v>162.416666666667</v>
      </c>
      <c r="F50" s="907" t="n">
        <v>48</v>
      </c>
      <c r="G50" s="905" t="n">
        <f aca="false">IF(ISERROR(F50/E50),"",F50/E50)</f>
        <v>0.295536172396101</v>
      </c>
      <c r="H50" s="906" t="n">
        <f aca="false">IF(ISERROR($D50/12),"",$D50/12)</f>
        <v>162.416666666667</v>
      </c>
      <c r="I50" s="907" t="n">
        <v>34</v>
      </c>
      <c r="J50" s="905" t="n">
        <f aca="false">IF(ISERROR(I50/H50),"",I50/H50)</f>
        <v>0.209338122113905</v>
      </c>
      <c r="K50" s="906" t="n">
        <f aca="false">IF(ISERROR($D50/12),"",$D50/12)</f>
        <v>162.416666666667</v>
      </c>
      <c r="L50" s="907" t="n">
        <v>32</v>
      </c>
      <c r="M50" s="908" t="n">
        <f aca="false">IF(ISERROR(L50/K50),"",L50/K50)</f>
        <v>0.197024114930734</v>
      </c>
      <c r="N50" s="909" t="n">
        <f aca="false">SUM(E50,H50,K50)</f>
        <v>487.25</v>
      </c>
      <c r="O50" s="920" t="n">
        <f aca="false">SUM(F50,I50,L50)</f>
        <v>114</v>
      </c>
      <c r="P50" s="911" t="n">
        <f aca="false">IF(ISERROR(O50/N50),"",O50/N50)</f>
        <v>0.233966136480246</v>
      </c>
      <c r="Q50" s="903" t="n">
        <f aca="false">IF(ISERROR($D50/12),"",$D50/12)</f>
        <v>162.416666666667</v>
      </c>
      <c r="R50" s="907" t="n">
        <v>19</v>
      </c>
      <c r="S50" s="912" t="n">
        <f aca="false">IF(ISERROR(R50/Q50),"",R50/Q50)</f>
        <v>0.116983068240123</v>
      </c>
      <c r="T50" s="906" t="n">
        <f aca="false">IF(ISERROR($D50/12),"",$D50/12)</f>
        <v>162.416666666667</v>
      </c>
      <c r="U50" s="907" t="n">
        <v>35</v>
      </c>
      <c r="V50" s="912" t="n">
        <f aca="false">IF(ISERROR(U50/T50),"",U50/T50)</f>
        <v>0.21549512570549</v>
      </c>
      <c r="W50" s="906" t="n">
        <f aca="false">IF(ISERROR($D50/12),"",$D50/12)</f>
        <v>162.416666666667</v>
      </c>
      <c r="X50" s="907" t="n">
        <v>38</v>
      </c>
      <c r="Y50" s="913" t="n">
        <f aca="false">IF(ISERROR(X50/W50),"",X50/W50)</f>
        <v>0.233966136480246</v>
      </c>
      <c r="Z50" s="909" t="n">
        <f aca="false">SUM(Q50,T50,W50)</f>
        <v>487.25</v>
      </c>
      <c r="AA50" s="920" t="n">
        <f aca="false">SUM(R50,U50,X50)</f>
        <v>92</v>
      </c>
      <c r="AB50" s="911" t="n">
        <f aca="false">IF(ISERROR(AA50/Z50),"",AA50/Z50)</f>
        <v>0.18881477680862</v>
      </c>
      <c r="AC50" s="903" t="n">
        <f aca="false">IF(ISERROR($D50/12),"",$D50/12)</f>
        <v>162.416666666667</v>
      </c>
      <c r="AD50" s="907"/>
      <c r="AE50" s="912" t="n">
        <f aca="false">IF(ISERROR(AD50/AC50),"",AD50/AC50)</f>
        <v>0</v>
      </c>
      <c r="AF50" s="906" t="n">
        <f aca="false">IF(ISERROR($D50/12),"",$D50/12)</f>
        <v>162.416666666667</v>
      </c>
      <c r="AG50" s="907"/>
      <c r="AH50" s="912" t="n">
        <f aca="false">IF(ISERROR(AG50/AF50),"",AG50/AF50)</f>
        <v>0</v>
      </c>
      <c r="AI50" s="906" t="n">
        <f aca="false">IF(ISERROR($D50/12),"",$D50/12)</f>
        <v>162.416666666667</v>
      </c>
      <c r="AJ50" s="907"/>
      <c r="AK50" s="913" t="n">
        <f aca="false">IF(ISERROR(AJ50/AI50),"",AJ50/AI50)</f>
        <v>0</v>
      </c>
      <c r="AL50" s="915" t="n">
        <f aca="false">SUM(AC50,AF50,AI50)</f>
        <v>487.25</v>
      </c>
      <c r="AM50" s="920" t="n">
        <f aca="false">SUM(AD50,AG50,AJ50)</f>
        <v>0</v>
      </c>
      <c r="AN50" s="911" t="n">
        <f aca="false">IF(ISERROR(AM50/AL50),"",AM50/AL50)</f>
        <v>0</v>
      </c>
      <c r="AO50" s="903" t="n">
        <f aca="false">IF(ISERROR($D50/12),"",$D50/12)</f>
        <v>162.416666666667</v>
      </c>
      <c r="AP50" s="907"/>
      <c r="AQ50" s="912" t="n">
        <f aca="false">IF(ISERROR(AP50/AO50),"",AP50/AO50)</f>
        <v>0</v>
      </c>
      <c r="AR50" s="906" t="n">
        <f aca="false">IF(ISERROR($D50/12),"",$D50/12)</f>
        <v>162.416666666667</v>
      </c>
      <c r="AS50" s="907"/>
      <c r="AT50" s="912" t="n">
        <f aca="false">IF(ISERROR(AS50/AR50),"",AS50/AR50)</f>
        <v>0</v>
      </c>
      <c r="AU50" s="906" t="n">
        <f aca="false">IF(ISERROR($D50/12),"",$D50/12)</f>
        <v>162.416666666667</v>
      </c>
      <c r="AV50" s="907"/>
      <c r="AW50" s="913" t="n">
        <f aca="false">IF(ISERROR(AV50/AU50),"",AV50/AU50)</f>
        <v>0</v>
      </c>
      <c r="AX50" s="909" t="n">
        <f aca="false">SUM(AO50,AR50,AU50)</f>
        <v>487.25</v>
      </c>
      <c r="AY50" s="920" t="n">
        <f aca="false">SUM(AP50,AS50,AV50)</f>
        <v>0</v>
      </c>
      <c r="AZ50" s="911" t="n">
        <f aca="false">IF(ISERROR(AY50/AX50),"",AY50/AX50)</f>
        <v>0</v>
      </c>
      <c r="BA50" s="916" t="n">
        <f aca="false">D50</f>
        <v>1949</v>
      </c>
      <c r="BB50" s="917" t="n">
        <f aca="false">SUM(F50,I50,L50,R50,U50,X50,AD50,AG50,AJ50,AP50,AS50,AV50)</f>
        <v>206</v>
      </c>
      <c r="BC50" s="918" t="n">
        <f aca="false">IF(ISERROR(BB50/BA50),"",BB50/BA50)</f>
        <v>0.105695228322217</v>
      </c>
      <c r="BD50" s="919"/>
      <c r="BE50" s="919"/>
      <c r="BF50" s="919"/>
    </row>
    <row collapsed="false" customFormat="false" customHeight="false" hidden="false" ht="12.8" outlineLevel="0" r="51">
      <c r="A51" s="922"/>
      <c r="B51" s="942" t="str">
        <f aca="false">18_Prog_Scios_Intermedios!L$3</f>
        <v>BANCO DE SANGRE </v>
      </c>
      <c r="C51" s="943" t="s">
        <v>826</v>
      </c>
      <c r="D51" s="921" t="n">
        <f aca="false">18_Prog_Scios_Intermedios!L33</f>
        <v>21779</v>
      </c>
      <c r="E51" s="903" t="n">
        <f aca="false">IF(ISERROR($D51/12),"",$D51/12)</f>
        <v>1814.91666666667</v>
      </c>
      <c r="F51" s="907" t="n">
        <v>1468</v>
      </c>
      <c r="G51" s="905" t="n">
        <f aca="false">IF(ISERROR(F51/E51),"",F51/E51)</f>
        <v>0.808852564396896</v>
      </c>
      <c r="H51" s="906" t="n">
        <f aca="false">IF(ISERROR($D51/12),"",$D51/12)</f>
        <v>1814.91666666667</v>
      </c>
      <c r="I51" s="907" t="n">
        <v>1815</v>
      </c>
      <c r="J51" s="905" t="n">
        <f aca="false">IF(ISERROR(I51/H51),"",I51/H51)</f>
        <v>1.00004591579044</v>
      </c>
      <c r="K51" s="906" t="n">
        <f aca="false">IF(ISERROR($D51/12),"",$D51/12)</f>
        <v>1814.91666666667</v>
      </c>
      <c r="L51" s="907" t="n">
        <v>1860</v>
      </c>
      <c r="M51" s="908" t="n">
        <f aca="false">IF(ISERROR(L51/K51),"",L51/K51)</f>
        <v>1.02484044262822</v>
      </c>
      <c r="N51" s="909" t="n">
        <f aca="false">SUM(E51,H51,K51)</f>
        <v>5444.75</v>
      </c>
      <c r="O51" s="920" t="n">
        <f aca="false">SUM(F51,I51,L51)</f>
        <v>5143</v>
      </c>
      <c r="P51" s="911" t="n">
        <f aca="false">IF(ISERROR(O51/N51),"",O51/N51)</f>
        <v>0.944579640938519</v>
      </c>
      <c r="Q51" s="903" t="n">
        <f aca="false">IF(ISERROR($D51/12),"",$D51/12)</f>
        <v>1814.91666666667</v>
      </c>
      <c r="R51" s="907" t="n">
        <v>1619</v>
      </c>
      <c r="S51" s="912" t="n">
        <f aca="false">IF(ISERROR(R51/Q51),"",R51/Q51)</f>
        <v>0.892051976674778</v>
      </c>
      <c r="T51" s="906" t="n">
        <f aca="false">IF(ISERROR($D51/12),"",$D51/12)</f>
        <v>1814.91666666667</v>
      </c>
      <c r="U51" s="907" t="n">
        <v>3182</v>
      </c>
      <c r="V51" s="912" t="n">
        <f aca="false">IF(ISERROR(U51/T51),"",U51/T51)</f>
        <v>1.75324854217365</v>
      </c>
      <c r="W51" s="906" t="n">
        <f aca="false">IF(ISERROR($D51/12),"",$D51/12)</f>
        <v>1814.91666666667</v>
      </c>
      <c r="X51" s="907" t="n">
        <v>2217</v>
      </c>
      <c r="Y51" s="913" t="n">
        <f aca="false">IF(ISERROR(X51/W51),"",X51/W51)</f>
        <v>1.2215436888746</v>
      </c>
      <c r="Z51" s="909" t="n">
        <f aca="false">SUM(Q51,T51,W51)</f>
        <v>5444.75</v>
      </c>
      <c r="AA51" s="920" t="n">
        <f aca="false">SUM(R51,U51,X51)</f>
        <v>7018</v>
      </c>
      <c r="AB51" s="911" t="n">
        <f aca="false">IF(ISERROR(AA51/Z51),"",AA51/Z51)</f>
        <v>1.28894806924101</v>
      </c>
      <c r="AC51" s="903" t="n">
        <f aca="false">IF(ISERROR($D51/12),"",$D51/12)</f>
        <v>1814.91666666667</v>
      </c>
      <c r="AD51" s="907"/>
      <c r="AE51" s="912" t="n">
        <f aca="false">IF(ISERROR(AD51/AC51),"",AD51/AC51)</f>
        <v>0</v>
      </c>
      <c r="AF51" s="906" t="n">
        <f aca="false">IF(ISERROR($D51/12),"",$D51/12)</f>
        <v>1814.91666666667</v>
      </c>
      <c r="AG51" s="907"/>
      <c r="AH51" s="912" t="n">
        <f aca="false">IF(ISERROR(AG51/AF51),"",AG51/AF51)</f>
        <v>0</v>
      </c>
      <c r="AI51" s="906" t="n">
        <f aca="false">IF(ISERROR($D51/12),"",$D51/12)</f>
        <v>1814.91666666667</v>
      </c>
      <c r="AJ51" s="907"/>
      <c r="AK51" s="913" t="n">
        <f aca="false">IF(ISERROR(AJ51/AI51),"",AJ51/AI51)</f>
        <v>0</v>
      </c>
      <c r="AL51" s="915" t="n">
        <f aca="false">SUM(AC51,AF51,AI51)</f>
        <v>5444.75</v>
      </c>
      <c r="AM51" s="920" t="n">
        <f aca="false">SUM(AD51,AG51,AJ51)</f>
        <v>0</v>
      </c>
      <c r="AN51" s="911" t="n">
        <f aca="false">IF(ISERROR(AM51/AL51),"",AM51/AL51)</f>
        <v>0</v>
      </c>
      <c r="AO51" s="903" t="n">
        <f aca="false">IF(ISERROR($D51/12),"",$D51/12)</f>
        <v>1814.91666666667</v>
      </c>
      <c r="AP51" s="907"/>
      <c r="AQ51" s="912" t="n">
        <f aca="false">IF(ISERROR(AP51/AO51),"",AP51/AO51)</f>
        <v>0</v>
      </c>
      <c r="AR51" s="906" t="n">
        <f aca="false">IF(ISERROR($D51/12),"",$D51/12)</f>
        <v>1814.91666666667</v>
      </c>
      <c r="AS51" s="907"/>
      <c r="AT51" s="912" t="n">
        <f aca="false">IF(ISERROR(AS51/AR51),"",AS51/AR51)</f>
        <v>0</v>
      </c>
      <c r="AU51" s="906" t="n">
        <f aca="false">IF(ISERROR($D51/12),"",$D51/12)</f>
        <v>1814.91666666667</v>
      </c>
      <c r="AV51" s="907"/>
      <c r="AW51" s="913" t="n">
        <f aca="false">IF(ISERROR(AV51/AU51),"",AV51/AU51)</f>
        <v>0</v>
      </c>
      <c r="AX51" s="909" t="n">
        <f aca="false">SUM(AO51,AR51,AU51)</f>
        <v>5444.75</v>
      </c>
      <c r="AY51" s="920" t="n">
        <f aca="false">SUM(AP51,AS51,AV51)</f>
        <v>0</v>
      </c>
      <c r="AZ51" s="911" t="n">
        <f aca="false">IF(ISERROR(AY51/AX51),"",AY51/AX51)</f>
        <v>0</v>
      </c>
      <c r="BA51" s="916" t="n">
        <f aca="false">D51</f>
        <v>21779</v>
      </c>
      <c r="BB51" s="917" t="n">
        <f aca="false">SUM(F51,I51,L51,R51,U51,X51,AD51,AG51,AJ51,AP51,AS51,AV51)</f>
        <v>12161</v>
      </c>
      <c r="BC51" s="918" t="n">
        <f aca="false">IF(ISERROR(BB51/BA51),"",BB51/BA51)</f>
        <v>0.558381927544883</v>
      </c>
      <c r="BD51" s="919"/>
      <c r="BE51" s="919"/>
      <c r="BF51" s="919"/>
    </row>
    <row collapsed="false" customFormat="false" customHeight="false" hidden="false" ht="12.8" outlineLevel="0" r="52">
      <c r="A52" s="922"/>
      <c r="B52" s="942" t="str">
        <f aca="false">18_Prog_Scios_Intermedios!O$3</f>
        <v>RAYOS X</v>
      </c>
      <c r="C52" s="943" t="s">
        <v>453</v>
      </c>
      <c r="D52" s="921" t="n">
        <f aca="false">18_Prog_Scios_Intermedios!O33</f>
        <v>46658</v>
      </c>
      <c r="E52" s="903" t="n">
        <f aca="false">IF(ISERROR($D52/12),"",$D52/12)</f>
        <v>3888.16666666667</v>
      </c>
      <c r="F52" s="907" t="n">
        <v>4667</v>
      </c>
      <c r="G52" s="905" t="n">
        <f aca="false">IF(ISERROR(F52/E52),"",F52/E52)</f>
        <v>1.20030862874534</v>
      </c>
      <c r="H52" s="906" t="n">
        <f aca="false">IF(ISERROR($D52/12),"",$D52/12)</f>
        <v>3888.16666666667</v>
      </c>
      <c r="I52" s="907" t="n">
        <v>4601</v>
      </c>
      <c r="J52" s="905" t="n">
        <f aca="false">IF(ISERROR(I52/H52),"",I52/H52)</f>
        <v>1.18333404775173</v>
      </c>
      <c r="K52" s="906" t="n">
        <f aca="false">IF(ISERROR($D52/12),"",$D52/12)</f>
        <v>3888.16666666667</v>
      </c>
      <c r="L52" s="907" t="n">
        <v>5390</v>
      </c>
      <c r="M52" s="908" t="n">
        <f aca="false">IF(ISERROR(L52/K52),"",L52/K52)</f>
        <v>1.38625744781174</v>
      </c>
      <c r="N52" s="909" t="n">
        <f aca="false">SUM(E52,H52,K52)</f>
        <v>11664.5</v>
      </c>
      <c r="O52" s="920" t="n">
        <f aca="false">SUM(F52,I52,L52)</f>
        <v>14658</v>
      </c>
      <c r="P52" s="911" t="n">
        <f aca="false">IF(ISERROR(O52/N52),"",O52/N52)</f>
        <v>1.2566333747696</v>
      </c>
      <c r="Q52" s="903" t="n">
        <f aca="false">IF(ISERROR($D52/12),"",$D52/12)</f>
        <v>3888.16666666667</v>
      </c>
      <c r="R52" s="907" t="n">
        <v>4493</v>
      </c>
      <c r="S52" s="912" t="n">
        <f aca="false">IF(ISERROR(R52/Q52),"",R52/Q52)</f>
        <v>1.15555746067127</v>
      </c>
      <c r="T52" s="906" t="n">
        <f aca="false">IF(ISERROR($D52/12),"",$D52/12)</f>
        <v>3888.16666666667</v>
      </c>
      <c r="U52" s="907" t="n">
        <v>5674</v>
      </c>
      <c r="V52" s="912" t="n">
        <f aca="false">IF(ISERROR(U52/T52),"",U52/T52)</f>
        <v>1.4592995842085</v>
      </c>
      <c r="W52" s="906" t="n">
        <f aca="false">IF(ISERROR($D52/12),"",$D52/12)</f>
        <v>3888.16666666667</v>
      </c>
      <c r="X52" s="907" t="n">
        <v>5396</v>
      </c>
      <c r="Y52" s="913" t="n">
        <f aca="false">IF(ISERROR(X52/W52),"",X52/W52)</f>
        <v>1.38780059153843</v>
      </c>
      <c r="Z52" s="909" t="n">
        <f aca="false">SUM(Q52,T52,W52)</f>
        <v>11664.5</v>
      </c>
      <c r="AA52" s="920" t="n">
        <f aca="false">SUM(R52,U52,X52)</f>
        <v>15563</v>
      </c>
      <c r="AB52" s="911" t="n">
        <f aca="false">IF(ISERROR(AA52/Z52),"",AA52/Z52)</f>
        <v>1.3342192121394</v>
      </c>
      <c r="AC52" s="903" t="n">
        <f aca="false">IF(ISERROR($D52/12),"",$D52/12)</f>
        <v>3888.16666666667</v>
      </c>
      <c r="AD52" s="907"/>
      <c r="AE52" s="912" t="n">
        <f aca="false">IF(ISERROR(AD52/AC52),"",AD52/AC52)</f>
        <v>0</v>
      </c>
      <c r="AF52" s="906" t="n">
        <f aca="false">IF(ISERROR($D52/12),"",$D52/12)</f>
        <v>3888.16666666667</v>
      </c>
      <c r="AG52" s="907"/>
      <c r="AH52" s="912" t="n">
        <f aca="false">IF(ISERROR(AG52/AF52),"",AG52/AF52)</f>
        <v>0</v>
      </c>
      <c r="AI52" s="906" t="n">
        <f aca="false">IF(ISERROR($D52/12),"",$D52/12)</f>
        <v>3888.16666666667</v>
      </c>
      <c r="AJ52" s="907"/>
      <c r="AK52" s="913" t="n">
        <f aca="false">IF(ISERROR(AJ52/AI52),"",AJ52/AI52)</f>
        <v>0</v>
      </c>
      <c r="AL52" s="915" t="n">
        <f aca="false">SUM(AC52,AF52,AI52)</f>
        <v>11664.5</v>
      </c>
      <c r="AM52" s="920" t="n">
        <f aca="false">SUM(AD52,AG52,AJ52)</f>
        <v>0</v>
      </c>
      <c r="AN52" s="911" t="n">
        <f aca="false">IF(ISERROR(AM52/AL52),"",AM52/AL52)</f>
        <v>0</v>
      </c>
      <c r="AO52" s="903" t="n">
        <f aca="false">IF(ISERROR($D52/12),"",$D52/12)</f>
        <v>3888.16666666667</v>
      </c>
      <c r="AP52" s="907"/>
      <c r="AQ52" s="912" t="n">
        <f aca="false">IF(ISERROR(AP52/AO52),"",AP52/AO52)</f>
        <v>0</v>
      </c>
      <c r="AR52" s="906" t="n">
        <f aca="false">IF(ISERROR($D52/12),"",$D52/12)</f>
        <v>3888.16666666667</v>
      </c>
      <c r="AS52" s="907"/>
      <c r="AT52" s="912" t="n">
        <f aca="false">IF(ISERROR(AS52/AR52),"",AS52/AR52)</f>
        <v>0</v>
      </c>
      <c r="AU52" s="906" t="n">
        <f aca="false">IF(ISERROR($D52/12),"",$D52/12)</f>
        <v>3888.16666666667</v>
      </c>
      <c r="AV52" s="907"/>
      <c r="AW52" s="913" t="n">
        <f aca="false">IF(ISERROR(AV52/AU52),"",AV52/AU52)</f>
        <v>0</v>
      </c>
      <c r="AX52" s="909" t="n">
        <f aca="false">SUM(AO52,AR52,AU52)</f>
        <v>11664.5</v>
      </c>
      <c r="AY52" s="920" t="n">
        <f aca="false">SUM(AP52,AS52,AV52)</f>
        <v>0</v>
      </c>
      <c r="AZ52" s="911" t="n">
        <f aca="false">IF(ISERROR(AY52/AX52),"",AY52/AX52)</f>
        <v>0</v>
      </c>
      <c r="BA52" s="916" t="n">
        <f aca="false">D52</f>
        <v>46658</v>
      </c>
      <c r="BB52" s="917" t="n">
        <f aca="false">SUM(F52,I52,L52,R52,U52,X52,AD52,AG52,AJ52,AP52,AS52,AV52)</f>
        <v>30221</v>
      </c>
      <c r="BC52" s="918" t="n">
        <f aca="false">IF(ISERROR(BB52/BA52),"",BB52/BA52)</f>
        <v>0.647713146727249</v>
      </c>
      <c r="BD52" s="919"/>
      <c r="BE52" s="919"/>
      <c r="BF52" s="919"/>
    </row>
    <row collapsed="false" customFormat="false" customHeight="false" hidden="false" ht="12.8" outlineLevel="0" r="53">
      <c r="A53" s="922"/>
      <c r="B53" s="942" t="str">
        <f aca="false">18_Prog_Scios_Intermedios!R$3</f>
        <v>ULTRASONOGRAFIA</v>
      </c>
      <c r="C53" s="943" t="s">
        <v>453</v>
      </c>
      <c r="D53" s="921" t="n">
        <f aca="false">18_Prog_Scios_Intermedios!R33</f>
        <v>170017</v>
      </c>
      <c r="E53" s="903" t="n">
        <f aca="false">IF(ISERROR($D53/12),"",$D53/12)</f>
        <v>14168.0833333333</v>
      </c>
      <c r="F53" s="907" t="n">
        <v>662</v>
      </c>
      <c r="G53" s="905" t="n">
        <f aca="false">IF(ISERROR(F53/E53),"",F53/E53)</f>
        <v>0.0467247392907768</v>
      </c>
      <c r="H53" s="906" t="n">
        <f aca="false">IF(ISERROR($D53/12),"",$D53/12)</f>
        <v>14168.0833333333</v>
      </c>
      <c r="I53" s="907" t="n">
        <v>560</v>
      </c>
      <c r="J53" s="905" t="n">
        <f aca="false">IF(ISERROR(I53/H53),"",I53/H53)</f>
        <v>0.039525459218784</v>
      </c>
      <c r="K53" s="906" t="n">
        <f aca="false">IF(ISERROR($D53/12),"",$D53/12)</f>
        <v>14168.0833333333</v>
      </c>
      <c r="L53" s="907" t="n">
        <v>634</v>
      </c>
      <c r="M53" s="908" t="n">
        <f aca="false">IF(ISERROR(L53/K53),"",L53/K53)</f>
        <v>0.0447484663298376</v>
      </c>
      <c r="N53" s="909" t="n">
        <f aca="false">SUM(E53,H53,K53)</f>
        <v>42504.25</v>
      </c>
      <c r="O53" s="920" t="n">
        <f aca="false">SUM(F53,I53,L53)</f>
        <v>1856</v>
      </c>
      <c r="P53" s="911" t="n">
        <f aca="false">IF(ISERROR(O53/N53),"",O53/N53)</f>
        <v>0.0436662216131328</v>
      </c>
      <c r="Q53" s="903" t="n">
        <f aca="false">IF(ISERROR($D53/12),"",$D53/12)</f>
        <v>14168.0833333333</v>
      </c>
      <c r="R53" s="907" t="n">
        <v>441</v>
      </c>
      <c r="S53" s="912" t="n">
        <f aca="false">IF(ISERROR(R53/Q53),"",R53/Q53)</f>
        <v>0.0311262991347924</v>
      </c>
      <c r="T53" s="906" t="n">
        <f aca="false">IF(ISERROR($D53/12),"",$D53/12)</f>
        <v>14168.0833333333</v>
      </c>
      <c r="U53" s="907" t="n">
        <v>657</v>
      </c>
      <c r="V53" s="912" t="n">
        <f aca="false">IF(ISERROR(U53/T53),"",U53/T53)</f>
        <v>0.0463718334048948</v>
      </c>
      <c r="W53" s="906" t="n">
        <f aca="false">IF(ISERROR($D53/12),"",$D53/12)</f>
        <v>14168.0833333333</v>
      </c>
      <c r="X53" s="907" t="n">
        <v>699</v>
      </c>
      <c r="Y53" s="913" t="n">
        <f aca="false">IF(ISERROR(X53/W53),"",X53/W53)</f>
        <v>0.0493362428463036</v>
      </c>
      <c r="Z53" s="909" t="n">
        <f aca="false">SUM(Q53,T53,W53)</f>
        <v>42504.25</v>
      </c>
      <c r="AA53" s="920" t="n">
        <f aca="false">SUM(R53,U53,X53)</f>
        <v>1797</v>
      </c>
      <c r="AB53" s="911" t="n">
        <f aca="false">IF(ISERROR(AA53/Z53),"",AA53/Z53)</f>
        <v>0.0422781251286636</v>
      </c>
      <c r="AC53" s="903" t="n">
        <f aca="false">IF(ISERROR($D53/12),"",$D53/12)</f>
        <v>14168.0833333333</v>
      </c>
      <c r="AD53" s="907"/>
      <c r="AE53" s="912" t="n">
        <f aca="false">IF(ISERROR(AD53/AC53),"",AD53/AC53)</f>
        <v>0</v>
      </c>
      <c r="AF53" s="906" t="n">
        <f aca="false">IF(ISERROR($D53/12),"",$D53/12)</f>
        <v>14168.0833333333</v>
      </c>
      <c r="AG53" s="907"/>
      <c r="AH53" s="912" t="n">
        <f aca="false">IF(ISERROR(AG53/AF53),"",AG53/AF53)</f>
        <v>0</v>
      </c>
      <c r="AI53" s="906" t="n">
        <f aca="false">IF(ISERROR($D53/12),"",$D53/12)</f>
        <v>14168.0833333333</v>
      </c>
      <c r="AJ53" s="907"/>
      <c r="AK53" s="913" t="n">
        <f aca="false">IF(ISERROR(AJ53/AI53),"",AJ53/AI53)</f>
        <v>0</v>
      </c>
      <c r="AL53" s="915" t="n">
        <f aca="false">SUM(AC53,AF53,AI53)</f>
        <v>42504.25</v>
      </c>
      <c r="AM53" s="920" t="n">
        <f aca="false">SUM(AD53,AG53,AJ53)</f>
        <v>0</v>
      </c>
      <c r="AN53" s="911" t="n">
        <f aca="false">IF(ISERROR(AM53/AL53),"",AM53/AL53)</f>
        <v>0</v>
      </c>
      <c r="AO53" s="903" t="n">
        <f aca="false">IF(ISERROR($D53/12),"",$D53/12)</f>
        <v>14168.0833333333</v>
      </c>
      <c r="AP53" s="907"/>
      <c r="AQ53" s="912" t="n">
        <f aca="false">IF(ISERROR(AP53/AO53),"",AP53/AO53)</f>
        <v>0</v>
      </c>
      <c r="AR53" s="906" t="n">
        <f aca="false">IF(ISERROR($D53/12),"",$D53/12)</f>
        <v>14168.0833333333</v>
      </c>
      <c r="AS53" s="907"/>
      <c r="AT53" s="912" t="n">
        <f aca="false">IF(ISERROR(AS53/AR53),"",AS53/AR53)</f>
        <v>0</v>
      </c>
      <c r="AU53" s="906" t="n">
        <f aca="false">IF(ISERROR($D53/12),"",$D53/12)</f>
        <v>14168.0833333333</v>
      </c>
      <c r="AV53" s="907"/>
      <c r="AW53" s="913" t="n">
        <f aca="false">IF(ISERROR(AV53/AU53),"",AV53/AU53)</f>
        <v>0</v>
      </c>
      <c r="AX53" s="909" t="n">
        <f aca="false">SUM(AO53,AR53,AU53)</f>
        <v>42504.25</v>
      </c>
      <c r="AY53" s="920" t="n">
        <f aca="false">SUM(AP53,AS53,AV53)</f>
        <v>0</v>
      </c>
      <c r="AZ53" s="911" t="n">
        <f aca="false">IF(ISERROR(AY53/AX53),"",AY53/AX53)</f>
        <v>0</v>
      </c>
      <c r="BA53" s="916" t="n">
        <f aca="false">D53</f>
        <v>170017</v>
      </c>
      <c r="BB53" s="917" t="n">
        <f aca="false">SUM(F53,I53,L53,R53,U53,X53,AD53,AG53,AJ53,AP53,AS53,AV53)</f>
        <v>3653</v>
      </c>
      <c r="BC53" s="918" t="n">
        <f aca="false">IF(ISERROR(BB53/BA53),"",BB53/BA53)</f>
        <v>0.0214860866854491</v>
      </c>
      <c r="BD53" s="919"/>
      <c r="BE53" s="919"/>
      <c r="BF53" s="919"/>
    </row>
    <row collapsed="false" customFormat="false" customHeight="false" hidden="false" ht="12.8" outlineLevel="0" r="54">
      <c r="A54" s="922"/>
      <c r="B54" s="942" t="str">
        <f aca="false">18_Prog_Scios_Intermedios!U$3</f>
        <v>TAC / RESONANCIA MAGNETICA</v>
      </c>
      <c r="C54" s="943" t="s">
        <v>453</v>
      </c>
      <c r="D54" s="921" t="n">
        <f aca="false">18_Prog_Scios_Intermedios!U33</f>
        <v>1439</v>
      </c>
      <c r="E54" s="903" t="n">
        <f aca="false">IF(ISERROR($D54/12),"",$D54/12)</f>
        <v>119.916666666667</v>
      </c>
      <c r="F54" s="907" t="n">
        <v>327</v>
      </c>
      <c r="G54" s="905" t="n">
        <f aca="false">IF(ISERROR(F54/E54),"",F54/E54)</f>
        <v>2.726893676164</v>
      </c>
      <c r="H54" s="906" t="n">
        <f aca="false">IF(ISERROR($D54/12),"",$D54/12)</f>
        <v>119.916666666667</v>
      </c>
      <c r="I54" s="907" t="n">
        <v>422</v>
      </c>
      <c r="J54" s="905" t="n">
        <f aca="false">IF(ISERROR(I54/H54),"",I54/H54)</f>
        <v>3.51911049339819</v>
      </c>
      <c r="K54" s="906" t="n">
        <f aca="false">IF(ISERROR($D54/12),"",$D54/12)</f>
        <v>119.916666666667</v>
      </c>
      <c r="L54" s="907" t="n">
        <v>443</v>
      </c>
      <c r="M54" s="908" t="n">
        <f aca="false">IF(ISERROR(L54/K54),"",L54/K54)</f>
        <v>3.69423210562891</v>
      </c>
      <c r="N54" s="909" t="n">
        <f aca="false">SUM(E54,H54,K54)</f>
        <v>359.75</v>
      </c>
      <c r="O54" s="920" t="n">
        <f aca="false">SUM(F54,I54,L54)</f>
        <v>1192</v>
      </c>
      <c r="P54" s="911" t="n">
        <f aca="false">IF(ISERROR(O54/N54),"",O54/N54)</f>
        <v>3.31341209173037</v>
      </c>
      <c r="Q54" s="903" t="n">
        <f aca="false">IF(ISERROR($D54/12),"",$D54/12)</f>
        <v>119.916666666667</v>
      </c>
      <c r="R54" s="907" t="n">
        <v>372</v>
      </c>
      <c r="S54" s="912" t="n">
        <f aca="false">IF(ISERROR(R54/Q54),"",R54/Q54)</f>
        <v>3.10215427380125</v>
      </c>
      <c r="T54" s="906" t="n">
        <f aca="false">IF(ISERROR($D54/12),"",$D54/12)</f>
        <v>119.916666666667</v>
      </c>
      <c r="U54" s="907" t="n">
        <v>514</v>
      </c>
      <c r="V54" s="912" t="n">
        <f aca="false">IF(ISERROR(U54/T54),"",U54/T54)</f>
        <v>4.28630993745657</v>
      </c>
      <c r="W54" s="906" t="n">
        <f aca="false">IF(ISERROR($D54/12),"",$D54/12)</f>
        <v>119.916666666667</v>
      </c>
      <c r="X54" s="907" t="n">
        <v>487</v>
      </c>
      <c r="Y54" s="913" t="n">
        <f aca="false">IF(ISERROR(X54/W54),"",X54/W54)</f>
        <v>4.06115357887422</v>
      </c>
      <c r="Z54" s="909" t="n">
        <f aca="false">SUM(Q54,T54,W54)</f>
        <v>359.75</v>
      </c>
      <c r="AA54" s="920" t="n">
        <f aca="false">SUM(R54,U54,X54)</f>
        <v>1373</v>
      </c>
      <c r="AB54" s="911" t="n">
        <f aca="false">IF(ISERROR(AA54/Z54),"",AA54/Z54)</f>
        <v>3.81653926337735</v>
      </c>
      <c r="AC54" s="903" t="n">
        <f aca="false">IF(ISERROR($D54/12),"",$D54/12)</f>
        <v>119.916666666667</v>
      </c>
      <c r="AD54" s="907"/>
      <c r="AE54" s="912" t="n">
        <f aca="false">IF(ISERROR(AD54/AC54),"",AD54/AC54)</f>
        <v>0</v>
      </c>
      <c r="AF54" s="906" t="n">
        <f aca="false">IF(ISERROR($D54/12),"",$D54/12)</f>
        <v>119.916666666667</v>
      </c>
      <c r="AG54" s="907"/>
      <c r="AH54" s="912" t="n">
        <f aca="false">IF(ISERROR(AG54/AF54),"",AG54/AF54)</f>
        <v>0</v>
      </c>
      <c r="AI54" s="906" t="n">
        <f aca="false">IF(ISERROR($D54/12),"",$D54/12)</f>
        <v>119.916666666667</v>
      </c>
      <c r="AJ54" s="907"/>
      <c r="AK54" s="913" t="n">
        <f aca="false">IF(ISERROR(AJ54/AI54),"",AJ54/AI54)</f>
        <v>0</v>
      </c>
      <c r="AL54" s="915" t="n">
        <f aca="false">SUM(AC54,AF54,AI54)</f>
        <v>359.75</v>
      </c>
      <c r="AM54" s="920" t="n">
        <f aca="false">SUM(AD54,AG54,AJ54)</f>
        <v>0</v>
      </c>
      <c r="AN54" s="911" t="n">
        <f aca="false">IF(ISERROR(AM54/AL54),"",AM54/AL54)</f>
        <v>0</v>
      </c>
      <c r="AO54" s="903" t="n">
        <f aca="false">IF(ISERROR($D54/12),"",$D54/12)</f>
        <v>119.916666666667</v>
      </c>
      <c r="AP54" s="907"/>
      <c r="AQ54" s="912" t="n">
        <f aca="false">IF(ISERROR(AP54/AO54),"",AP54/AO54)</f>
        <v>0</v>
      </c>
      <c r="AR54" s="906" t="n">
        <f aca="false">IF(ISERROR($D54/12),"",$D54/12)</f>
        <v>119.916666666667</v>
      </c>
      <c r="AS54" s="907"/>
      <c r="AT54" s="912" t="n">
        <f aca="false">IF(ISERROR(AS54/AR54),"",AS54/AR54)</f>
        <v>0</v>
      </c>
      <c r="AU54" s="906" t="n">
        <f aca="false">IF(ISERROR($D54/12),"",$D54/12)</f>
        <v>119.916666666667</v>
      </c>
      <c r="AV54" s="907"/>
      <c r="AW54" s="913" t="n">
        <f aca="false">IF(ISERROR(AV54/AU54),"",AV54/AU54)</f>
        <v>0</v>
      </c>
      <c r="AX54" s="909" t="n">
        <f aca="false">SUM(AO54,AR54,AU54)</f>
        <v>359.75</v>
      </c>
      <c r="AY54" s="920" t="n">
        <f aca="false">SUM(AP54,AS54,AV54)</f>
        <v>0</v>
      </c>
      <c r="AZ54" s="911" t="n">
        <f aca="false">IF(ISERROR(AY54/AX54),"",AY54/AX54)</f>
        <v>0</v>
      </c>
      <c r="BA54" s="916" t="n">
        <f aca="false">D54</f>
        <v>1439</v>
      </c>
      <c r="BB54" s="917" t="n">
        <f aca="false">SUM(F54,I54,L54,R54,U54,X54,AD54,AG54,AJ54,AP54,AS54,AV54)</f>
        <v>2565</v>
      </c>
      <c r="BC54" s="918" t="n">
        <f aca="false">IF(ISERROR(BB54/BA54),"",BB54/BA54)</f>
        <v>1.78248783877693</v>
      </c>
      <c r="BD54" s="919"/>
      <c r="BE54" s="919"/>
      <c r="BF54" s="919"/>
    </row>
    <row collapsed="false" customFormat="false" customHeight="false" hidden="false" ht="12.8" outlineLevel="0" r="55">
      <c r="A55" s="922"/>
      <c r="B55" s="942" t="str">
        <f aca="false">18_Prog_Scios_Intermedios!X$3</f>
        <v>ELECTROENCEFALOGRAFIA</v>
      </c>
      <c r="C55" s="943" t="s">
        <v>453</v>
      </c>
      <c r="D55" s="921" t="n">
        <f aca="false">18_Prog_Scios_Intermedios!X33</f>
        <v>287</v>
      </c>
      <c r="E55" s="903" t="n">
        <f aca="false">IF(ISERROR($D55/12),"",$D55/12)</f>
        <v>23.9166666666667</v>
      </c>
      <c r="F55" s="907" t="n">
        <v>177</v>
      </c>
      <c r="G55" s="905" t="n">
        <f aca="false">IF(ISERROR(F55/E55),"",F55/E55)</f>
        <v>7.4006968641115</v>
      </c>
      <c r="H55" s="906" t="n">
        <f aca="false">IF(ISERROR($D55/12),"",$D55/12)</f>
        <v>23.9166666666667</v>
      </c>
      <c r="I55" s="907" t="n">
        <v>207</v>
      </c>
      <c r="J55" s="905" t="n">
        <f aca="false">IF(ISERROR(I55/H55),"",I55/H55)</f>
        <v>8.65505226480836</v>
      </c>
      <c r="K55" s="906" t="n">
        <f aca="false">IF(ISERROR($D55/12),"",$D55/12)</f>
        <v>23.9166666666667</v>
      </c>
      <c r="L55" s="907" t="n">
        <v>318</v>
      </c>
      <c r="M55" s="908" t="n">
        <f aca="false">IF(ISERROR(L55/K55),"",L55/K55)</f>
        <v>13.2961672473868</v>
      </c>
      <c r="N55" s="909" t="n">
        <f aca="false">SUM(E55,H55,K55)</f>
        <v>71.75</v>
      </c>
      <c r="O55" s="920" t="n">
        <f aca="false">SUM(F55,I55,L55)</f>
        <v>702</v>
      </c>
      <c r="P55" s="911" t="n">
        <f aca="false">IF(ISERROR(O55/N55),"",O55/N55)</f>
        <v>9.78397212543554</v>
      </c>
      <c r="Q55" s="903" t="n">
        <f aca="false">IF(ISERROR($D55/12),"",$D55/12)</f>
        <v>23.9166666666667</v>
      </c>
      <c r="R55" s="907" t="n">
        <v>217</v>
      </c>
      <c r="S55" s="912" t="n">
        <f aca="false">IF(ISERROR(R55/Q55),"",R55/Q55)</f>
        <v>9.07317073170732</v>
      </c>
      <c r="T55" s="906" t="n">
        <f aca="false">IF(ISERROR($D55/12),"",$D55/12)</f>
        <v>23.9166666666667</v>
      </c>
      <c r="U55" s="907" t="n">
        <v>307</v>
      </c>
      <c r="V55" s="912" t="n">
        <f aca="false">IF(ISERROR(U55/T55),"",U55/T55)</f>
        <v>12.8362369337979</v>
      </c>
      <c r="W55" s="906" t="n">
        <f aca="false">IF(ISERROR($D55/12),"",$D55/12)</f>
        <v>23.9166666666667</v>
      </c>
      <c r="X55" s="907" t="n">
        <v>371</v>
      </c>
      <c r="Y55" s="913" t="n">
        <f aca="false">IF(ISERROR(X55/W55),"",X55/W55)</f>
        <v>15.5121951219512</v>
      </c>
      <c r="Z55" s="909" t="n">
        <f aca="false">SUM(Q55,T55,W55)</f>
        <v>71.75</v>
      </c>
      <c r="AA55" s="920" t="n">
        <f aca="false">SUM(R55,U55,X55)</f>
        <v>895</v>
      </c>
      <c r="AB55" s="911" t="n">
        <f aca="false">IF(ISERROR(AA55/Z55),"",AA55/Z55)</f>
        <v>12.4738675958188</v>
      </c>
      <c r="AC55" s="903" t="n">
        <f aca="false">IF(ISERROR($D55/12),"",$D55/12)</f>
        <v>23.9166666666667</v>
      </c>
      <c r="AD55" s="907"/>
      <c r="AE55" s="912" t="n">
        <f aca="false">IF(ISERROR(AD55/AC55),"",AD55/AC55)</f>
        <v>0</v>
      </c>
      <c r="AF55" s="906" t="n">
        <f aca="false">IF(ISERROR($D55/12),"",$D55/12)</f>
        <v>23.9166666666667</v>
      </c>
      <c r="AG55" s="907"/>
      <c r="AH55" s="912" t="n">
        <f aca="false">IF(ISERROR(AG55/AF55),"",AG55/AF55)</f>
        <v>0</v>
      </c>
      <c r="AI55" s="906" t="n">
        <f aca="false">IF(ISERROR($D55/12),"",$D55/12)</f>
        <v>23.9166666666667</v>
      </c>
      <c r="AJ55" s="907"/>
      <c r="AK55" s="913" t="n">
        <f aca="false">IF(ISERROR(AJ55/AI55),"",AJ55/AI55)</f>
        <v>0</v>
      </c>
      <c r="AL55" s="915" t="n">
        <f aca="false">SUM(AC55,AF55,AI55)</f>
        <v>71.75</v>
      </c>
      <c r="AM55" s="920" t="n">
        <f aca="false">SUM(AD55,AG55,AJ55)</f>
        <v>0</v>
      </c>
      <c r="AN55" s="911" t="n">
        <f aca="false">IF(ISERROR(AM55/AL55),"",AM55/AL55)</f>
        <v>0</v>
      </c>
      <c r="AO55" s="903" t="n">
        <f aca="false">IF(ISERROR($D55/12),"",$D55/12)</f>
        <v>23.9166666666667</v>
      </c>
      <c r="AP55" s="907"/>
      <c r="AQ55" s="912" t="n">
        <f aca="false">IF(ISERROR(AP55/AO55),"",AP55/AO55)</f>
        <v>0</v>
      </c>
      <c r="AR55" s="906" t="n">
        <f aca="false">IF(ISERROR($D55/12),"",$D55/12)</f>
        <v>23.9166666666667</v>
      </c>
      <c r="AS55" s="907"/>
      <c r="AT55" s="912" t="n">
        <f aca="false">IF(ISERROR(AS55/AR55),"",AS55/AR55)</f>
        <v>0</v>
      </c>
      <c r="AU55" s="906" t="n">
        <f aca="false">IF(ISERROR($D55/12),"",$D55/12)</f>
        <v>23.9166666666667</v>
      </c>
      <c r="AV55" s="907"/>
      <c r="AW55" s="913" t="n">
        <f aca="false">IF(ISERROR(AV55/AU55),"",AV55/AU55)</f>
        <v>0</v>
      </c>
      <c r="AX55" s="909" t="n">
        <f aca="false">SUM(AO55,AR55,AU55)</f>
        <v>71.75</v>
      </c>
      <c r="AY55" s="920" t="n">
        <f aca="false">SUM(AP55,AS55,AV55)</f>
        <v>0</v>
      </c>
      <c r="AZ55" s="911" t="n">
        <f aca="false">IF(ISERROR(AY55/AX55),"",AY55/AX55)</f>
        <v>0</v>
      </c>
      <c r="BA55" s="916" t="n">
        <f aca="false">D55</f>
        <v>287</v>
      </c>
      <c r="BB55" s="917" t="n">
        <f aca="false">SUM(F55,I55,L55,R55,U55,X55,AD55,AG55,AJ55,AP55,AS55,AV55)</f>
        <v>1597</v>
      </c>
      <c r="BC55" s="918" t="n">
        <f aca="false">IF(ISERROR(BB55/BA55),"",BB55/BA55)</f>
        <v>5.56445993031359</v>
      </c>
      <c r="BD55" s="919"/>
      <c r="BE55" s="919"/>
      <c r="BF55" s="919"/>
    </row>
    <row collapsed="false" customFormat="false" customHeight="false" hidden="false" ht="12.8" outlineLevel="0" r="56">
      <c r="A56" s="922"/>
      <c r="B56" s="942" t="str">
        <f aca="false">18_Prog_Scios_Intermedios!AA$3</f>
        <v>ELECTROCARDIOGRAFIA</v>
      </c>
      <c r="C56" s="943" t="s">
        <v>453</v>
      </c>
      <c r="D56" s="921" t="n">
        <f aca="false">18_Prog_Scios_Intermedios!AA33</f>
        <v>167903</v>
      </c>
      <c r="E56" s="903" t="n">
        <f aca="false">IF(ISERROR($D56/12),"",$D56/12)</f>
        <v>13991.9166666667</v>
      </c>
      <c r="F56" s="907" t="n">
        <v>328</v>
      </c>
      <c r="G56" s="905" t="n">
        <f aca="false">IF(ISERROR(F56/E56),"",F56/E56)</f>
        <v>0.0234421064543218</v>
      </c>
      <c r="H56" s="906" t="n">
        <f aca="false">IF(ISERROR($D56/12),"",$D56/12)</f>
        <v>13991.9166666667</v>
      </c>
      <c r="I56" s="907" t="n">
        <v>290</v>
      </c>
      <c r="J56" s="905" t="n">
        <f aca="false">IF(ISERROR(I56/H56),"",I56/H56)</f>
        <v>0.0207262526577846</v>
      </c>
      <c r="K56" s="906" t="n">
        <f aca="false">IF(ISERROR($D56/12),"",$D56/12)</f>
        <v>13991.9166666667</v>
      </c>
      <c r="L56" s="907" t="n">
        <v>341</v>
      </c>
      <c r="M56" s="908" t="n">
        <f aca="false">IF(ISERROR(L56/K56),"",L56/K56)</f>
        <v>0.0243712143320846</v>
      </c>
      <c r="N56" s="909" t="n">
        <f aca="false">SUM(E56,H56,K56)</f>
        <v>41975.75</v>
      </c>
      <c r="O56" s="920" t="n">
        <f aca="false">SUM(F56,I56,L56)</f>
        <v>959</v>
      </c>
      <c r="P56" s="911" t="n">
        <f aca="false">IF(ISERROR(O56/N56),"",O56/N56)</f>
        <v>0.022846524481397</v>
      </c>
      <c r="Q56" s="903" t="n">
        <f aca="false">IF(ISERROR($D56/12),"",$D56/12)</f>
        <v>13991.9166666667</v>
      </c>
      <c r="R56" s="907" t="n">
        <v>210</v>
      </c>
      <c r="S56" s="912" t="n">
        <f aca="false">IF(ISERROR(R56/Q56),"",R56/Q56)</f>
        <v>0.0150086657177061</v>
      </c>
      <c r="T56" s="906" t="n">
        <f aca="false">IF(ISERROR($D56/12),"",$D56/12)</f>
        <v>13991.9166666667</v>
      </c>
      <c r="U56" s="907" t="n">
        <v>305</v>
      </c>
      <c r="V56" s="912" t="n">
        <f aca="false">IF(ISERROR(U56/T56),"",U56/T56)</f>
        <v>0.0217983002090493</v>
      </c>
      <c r="W56" s="906" t="n">
        <f aca="false">IF(ISERROR($D56/12),"",$D56/12)</f>
        <v>13991.9166666667</v>
      </c>
      <c r="X56" s="907" t="n">
        <v>303</v>
      </c>
      <c r="Y56" s="913" t="n">
        <f aca="false">IF(ISERROR(X56/W56),"",X56/W56)</f>
        <v>0.0216553605355473</v>
      </c>
      <c r="Z56" s="909" t="n">
        <f aca="false">SUM(Q56,T56,W56)</f>
        <v>41975.75</v>
      </c>
      <c r="AA56" s="920" t="n">
        <f aca="false">SUM(R56,U56,X56)</f>
        <v>818</v>
      </c>
      <c r="AB56" s="911" t="n">
        <f aca="false">IF(ISERROR(AA56/Z56),"",AA56/Z56)</f>
        <v>0.0194874421541009</v>
      </c>
      <c r="AC56" s="903" t="n">
        <f aca="false">IF(ISERROR($D56/12),"",$D56/12)</f>
        <v>13991.9166666667</v>
      </c>
      <c r="AD56" s="907"/>
      <c r="AE56" s="912" t="n">
        <f aca="false">IF(ISERROR(AD56/AC56),"",AD56/AC56)</f>
        <v>0</v>
      </c>
      <c r="AF56" s="906" t="n">
        <f aca="false">IF(ISERROR($D56/12),"",$D56/12)</f>
        <v>13991.9166666667</v>
      </c>
      <c r="AG56" s="907"/>
      <c r="AH56" s="912" t="n">
        <f aca="false">IF(ISERROR(AG56/AF56),"",AG56/AF56)</f>
        <v>0</v>
      </c>
      <c r="AI56" s="906" t="n">
        <f aca="false">IF(ISERROR($D56/12),"",$D56/12)</f>
        <v>13991.9166666667</v>
      </c>
      <c r="AJ56" s="907"/>
      <c r="AK56" s="913" t="n">
        <f aca="false">IF(ISERROR(AJ56/AI56),"",AJ56/AI56)</f>
        <v>0</v>
      </c>
      <c r="AL56" s="915" t="n">
        <f aca="false">SUM(AC56,AF56,AI56)</f>
        <v>41975.75</v>
      </c>
      <c r="AM56" s="920" t="n">
        <f aca="false">SUM(AD56,AG56,AJ56)</f>
        <v>0</v>
      </c>
      <c r="AN56" s="911" t="n">
        <f aca="false">IF(ISERROR(AM56/AL56),"",AM56/AL56)</f>
        <v>0</v>
      </c>
      <c r="AO56" s="903" t="n">
        <f aca="false">IF(ISERROR($D56/12),"",$D56/12)</f>
        <v>13991.9166666667</v>
      </c>
      <c r="AP56" s="907"/>
      <c r="AQ56" s="912" t="n">
        <f aca="false">IF(ISERROR(AP56/AO56),"",AP56/AO56)</f>
        <v>0</v>
      </c>
      <c r="AR56" s="906" t="n">
        <f aca="false">IF(ISERROR($D56/12),"",$D56/12)</f>
        <v>13991.9166666667</v>
      </c>
      <c r="AS56" s="907"/>
      <c r="AT56" s="912" t="n">
        <f aca="false">IF(ISERROR(AS56/AR56),"",AS56/AR56)</f>
        <v>0</v>
      </c>
      <c r="AU56" s="906" t="n">
        <f aca="false">IF(ISERROR($D56/12),"",$D56/12)</f>
        <v>13991.9166666667</v>
      </c>
      <c r="AV56" s="907"/>
      <c r="AW56" s="913" t="n">
        <f aca="false">IF(ISERROR(AV56/AU56),"",AV56/AU56)</f>
        <v>0</v>
      </c>
      <c r="AX56" s="909" t="n">
        <f aca="false">SUM(AO56,AR56,AU56)</f>
        <v>41975.75</v>
      </c>
      <c r="AY56" s="920" t="n">
        <f aca="false">SUM(AP56,AS56,AV56)</f>
        <v>0</v>
      </c>
      <c r="AZ56" s="911" t="n">
        <f aca="false">IF(ISERROR(AY56/AX56),"",AY56/AX56)</f>
        <v>0</v>
      </c>
      <c r="BA56" s="916" t="n">
        <f aca="false">D56</f>
        <v>167903</v>
      </c>
      <c r="BB56" s="917" t="n">
        <f aca="false">SUM(F56,I56,L56,R56,U56,X56,AD56,AG56,AJ56,AP56,AS56,AV56)</f>
        <v>1777</v>
      </c>
      <c r="BC56" s="918" t="n">
        <f aca="false">IF(ISERROR(BB56/BA56),"",BB56/BA56)</f>
        <v>0.0105834916588745</v>
      </c>
      <c r="BD56" s="919"/>
      <c r="BE56" s="919"/>
      <c r="BF56" s="919"/>
    </row>
    <row collapsed="false" customFormat="false" customHeight="false" hidden="false" ht="12.8" outlineLevel="0" r="57">
      <c r="A57" s="922"/>
      <c r="B57" s="942" t="str">
        <f aca="false">18_Prog_Scios_Intermedios!AD$3</f>
        <v>ECOCARDIOGRAFIA</v>
      </c>
      <c r="C57" s="943" t="s">
        <v>453</v>
      </c>
      <c r="D57" s="921" t="n">
        <f aca="false">18_Prog_Scios_Intermedios!AD33</f>
        <v>1331</v>
      </c>
      <c r="E57" s="903" t="n">
        <f aca="false">IF(ISERROR($D57/12),"",$D57/12)</f>
        <v>110.916666666667</v>
      </c>
      <c r="F57" s="907" t="n">
        <v>152</v>
      </c>
      <c r="G57" s="905" t="n">
        <f aca="false">IF(ISERROR(F57/E57),"",F57/E57)</f>
        <v>1.37039819684448</v>
      </c>
      <c r="H57" s="906" t="n">
        <f aca="false">IF(ISERROR($D57/12),"",$D57/12)</f>
        <v>110.916666666667</v>
      </c>
      <c r="I57" s="907" t="n">
        <v>124</v>
      </c>
      <c r="J57" s="905" t="n">
        <f aca="false">IF(ISERROR(I57/H57),"",I57/H57)</f>
        <v>1.11795642374155</v>
      </c>
      <c r="K57" s="906" t="n">
        <f aca="false">IF(ISERROR($D57/12),"",$D57/12)</f>
        <v>110.916666666667</v>
      </c>
      <c r="L57" s="907" t="n">
        <v>165</v>
      </c>
      <c r="M57" s="908" t="n">
        <f aca="false">IF(ISERROR(L57/K57),"",L57/K57)</f>
        <v>1.48760330578512</v>
      </c>
      <c r="N57" s="909" t="n">
        <f aca="false">SUM(E57,H57,K57)</f>
        <v>332.75</v>
      </c>
      <c r="O57" s="920" t="n">
        <f aca="false">SUM(F57,I57,L57)</f>
        <v>441</v>
      </c>
      <c r="P57" s="911" t="n">
        <f aca="false">IF(ISERROR(O57/N57),"",O57/N57)</f>
        <v>1.32531930879038</v>
      </c>
      <c r="Q57" s="903" t="n">
        <f aca="false">IF(ISERROR($D57/12),"",$D57/12)</f>
        <v>110.916666666667</v>
      </c>
      <c r="R57" s="907" t="n">
        <v>113</v>
      </c>
      <c r="S57" s="912" t="n">
        <f aca="false">IF(ISERROR(R57/Q57),"",R57/Q57)</f>
        <v>1.01878287002254</v>
      </c>
      <c r="T57" s="906" t="n">
        <f aca="false">IF(ISERROR($D57/12),"",$D57/12)</f>
        <v>110.916666666667</v>
      </c>
      <c r="U57" s="907" t="n">
        <v>157</v>
      </c>
      <c r="V57" s="912" t="n">
        <f aca="false">IF(ISERROR(U57/T57),"",U57/T57)</f>
        <v>1.41547708489857</v>
      </c>
      <c r="W57" s="906" t="n">
        <f aca="false">IF(ISERROR($D57/12),"",$D57/12)</f>
        <v>110.916666666667</v>
      </c>
      <c r="X57" s="907" t="n">
        <v>209</v>
      </c>
      <c r="Y57" s="913" t="n">
        <f aca="false">IF(ISERROR(X57/W57),"",X57/W57)</f>
        <v>1.88429752066116</v>
      </c>
      <c r="Z57" s="909" t="n">
        <f aca="false">SUM(Q57,T57,W57)</f>
        <v>332.75</v>
      </c>
      <c r="AA57" s="920" t="n">
        <f aca="false">SUM(R57,U57,X57)</f>
        <v>479</v>
      </c>
      <c r="AB57" s="911" t="n">
        <f aca="false">IF(ISERROR(AA57/Z57),"",AA57/Z57)</f>
        <v>1.43951915852742</v>
      </c>
      <c r="AC57" s="903" t="n">
        <f aca="false">IF(ISERROR($D57/12),"",$D57/12)</f>
        <v>110.916666666667</v>
      </c>
      <c r="AD57" s="907"/>
      <c r="AE57" s="912" t="n">
        <f aca="false">IF(ISERROR(AD57/AC57),"",AD57/AC57)</f>
        <v>0</v>
      </c>
      <c r="AF57" s="906" t="n">
        <f aca="false">IF(ISERROR($D57/12),"",$D57/12)</f>
        <v>110.916666666667</v>
      </c>
      <c r="AG57" s="907"/>
      <c r="AH57" s="912" t="n">
        <f aca="false">IF(ISERROR(AG57/AF57),"",AG57/AF57)</f>
        <v>0</v>
      </c>
      <c r="AI57" s="906" t="n">
        <f aca="false">IF(ISERROR($D57/12),"",$D57/12)</f>
        <v>110.916666666667</v>
      </c>
      <c r="AJ57" s="907"/>
      <c r="AK57" s="913" t="n">
        <f aca="false">IF(ISERROR(AJ57/AI57),"",AJ57/AI57)</f>
        <v>0</v>
      </c>
      <c r="AL57" s="915" t="n">
        <f aca="false">SUM(AC57,AF57,AI57)</f>
        <v>332.75</v>
      </c>
      <c r="AM57" s="920" t="n">
        <f aca="false">SUM(AD57,AG57,AJ57)</f>
        <v>0</v>
      </c>
      <c r="AN57" s="911" t="n">
        <f aca="false">IF(ISERROR(AM57/AL57),"",AM57/AL57)</f>
        <v>0</v>
      </c>
      <c r="AO57" s="903" t="n">
        <f aca="false">IF(ISERROR($D57/12),"",$D57/12)</f>
        <v>110.916666666667</v>
      </c>
      <c r="AP57" s="907"/>
      <c r="AQ57" s="912" t="n">
        <f aca="false">IF(ISERROR(AP57/AO57),"",AP57/AO57)</f>
        <v>0</v>
      </c>
      <c r="AR57" s="906" t="n">
        <f aca="false">IF(ISERROR($D57/12),"",$D57/12)</f>
        <v>110.916666666667</v>
      </c>
      <c r="AS57" s="907"/>
      <c r="AT57" s="912" t="n">
        <f aca="false">IF(ISERROR(AS57/AR57),"",AS57/AR57)</f>
        <v>0</v>
      </c>
      <c r="AU57" s="906" t="n">
        <f aca="false">IF(ISERROR($D57/12),"",$D57/12)</f>
        <v>110.916666666667</v>
      </c>
      <c r="AV57" s="907"/>
      <c r="AW57" s="913" t="n">
        <f aca="false">IF(ISERROR(AV57/AU57),"",AV57/AU57)</f>
        <v>0</v>
      </c>
      <c r="AX57" s="909" t="n">
        <f aca="false">SUM(AO57,AR57,AU57)</f>
        <v>332.75</v>
      </c>
      <c r="AY57" s="920" t="n">
        <f aca="false">SUM(AP57,AS57,AV57)</f>
        <v>0</v>
      </c>
      <c r="AZ57" s="911" t="n">
        <f aca="false">IF(ISERROR(AY57/AX57),"",AY57/AX57)</f>
        <v>0</v>
      </c>
      <c r="BA57" s="916" t="n">
        <f aca="false">D57</f>
        <v>1331</v>
      </c>
      <c r="BB57" s="917" t="n">
        <f aca="false">SUM(F57,I57,L57,R57,U57,X57,AD57,AG57,AJ57,AP57,AS57,AV57)</f>
        <v>920</v>
      </c>
      <c r="BC57" s="918" t="n">
        <f aca="false">IF(ISERROR(BB57/BA57),"",BB57/BA57)</f>
        <v>0.691209616829452</v>
      </c>
      <c r="BD57" s="919"/>
      <c r="BE57" s="919"/>
      <c r="BF57" s="919"/>
    </row>
    <row collapsed="false" customFormat="false" customHeight="false" hidden="false" ht="12.8" outlineLevel="0" r="58">
      <c r="A58" s="922"/>
      <c r="B58" s="942" t="str">
        <f aca="false">18_Prog_Scios_Intermedios!AG$3</f>
        <v>AUDIOMETRIAS</v>
      </c>
      <c r="C58" s="943" t="s">
        <v>453</v>
      </c>
      <c r="D58" s="921" t="n">
        <f aca="false">18_Prog_Scios_Intermedios!AG33</f>
        <v>3805</v>
      </c>
      <c r="E58" s="903" t="n">
        <f aca="false">IF(ISERROR($D58/12),"",$D58/12)</f>
        <v>317.083333333333</v>
      </c>
      <c r="F58" s="907" t="n">
        <v>421</v>
      </c>
      <c r="G58" s="905" t="n">
        <f aca="false">IF(ISERROR(F58/E58),"",F58/E58)</f>
        <v>1.32772667542707</v>
      </c>
      <c r="H58" s="906" t="n">
        <f aca="false">IF(ISERROR($D58/12),"",$D58/12)</f>
        <v>317.083333333333</v>
      </c>
      <c r="I58" s="907" t="n">
        <v>412</v>
      </c>
      <c r="J58" s="905" t="n">
        <f aca="false">IF(ISERROR(I58/H58),"",I58/H58)</f>
        <v>1.29934296977661</v>
      </c>
      <c r="K58" s="906" t="n">
        <f aca="false">IF(ISERROR($D58/12),"",$D58/12)</f>
        <v>317.083333333333</v>
      </c>
      <c r="L58" s="907" t="n">
        <v>400</v>
      </c>
      <c r="M58" s="908" t="n">
        <f aca="false">IF(ISERROR(L58/K58),"",L58/K58)</f>
        <v>1.26149802890933</v>
      </c>
      <c r="N58" s="909" t="n">
        <f aca="false">SUM(E58,H58,K58)</f>
        <v>951.25</v>
      </c>
      <c r="O58" s="920" t="n">
        <f aca="false">SUM(F58,I58,L58)</f>
        <v>1233</v>
      </c>
      <c r="P58" s="911" t="n">
        <f aca="false">IF(ISERROR(O58/N58),"",O58/N58)</f>
        <v>1.29618922470434</v>
      </c>
      <c r="Q58" s="903" t="n">
        <f aca="false">IF(ISERROR($D58/12),"",$D58/12)</f>
        <v>317.083333333333</v>
      </c>
      <c r="R58" s="907" t="n">
        <v>292</v>
      </c>
      <c r="S58" s="912" t="n">
        <f aca="false">IF(ISERROR(R58/Q58),"",R58/Q58)</f>
        <v>0.920893561103811</v>
      </c>
      <c r="T58" s="906" t="n">
        <f aca="false">IF(ISERROR($D58/12),"",$D58/12)</f>
        <v>317.083333333333</v>
      </c>
      <c r="U58" s="907" t="n">
        <v>426</v>
      </c>
      <c r="V58" s="912" t="n">
        <f aca="false">IF(ISERROR(U58/T58),"",U58/T58)</f>
        <v>1.34349540078844</v>
      </c>
      <c r="W58" s="906" t="n">
        <f aca="false">IF(ISERROR($D58/12),"",$D58/12)</f>
        <v>317.083333333333</v>
      </c>
      <c r="X58" s="907" t="n">
        <v>421</v>
      </c>
      <c r="Y58" s="913" t="n">
        <f aca="false">IF(ISERROR(X58/W58),"",X58/W58)</f>
        <v>1.32772667542707</v>
      </c>
      <c r="Z58" s="909" t="n">
        <f aca="false">SUM(Q58,T58,W58)</f>
        <v>951.25</v>
      </c>
      <c r="AA58" s="920" t="n">
        <f aca="false">SUM(R58,U58,X58)</f>
        <v>1139</v>
      </c>
      <c r="AB58" s="911" t="n">
        <f aca="false">IF(ISERROR(AA58/Z58),"",AA58/Z58)</f>
        <v>1.19737187910644</v>
      </c>
      <c r="AC58" s="903" t="n">
        <f aca="false">IF(ISERROR($D58/12),"",$D58/12)</f>
        <v>317.083333333333</v>
      </c>
      <c r="AD58" s="907"/>
      <c r="AE58" s="912" t="n">
        <f aca="false">IF(ISERROR(AD58/AC58),"",AD58/AC58)</f>
        <v>0</v>
      </c>
      <c r="AF58" s="906" t="n">
        <f aca="false">IF(ISERROR($D58/12),"",$D58/12)</f>
        <v>317.083333333333</v>
      </c>
      <c r="AG58" s="907"/>
      <c r="AH58" s="912" t="n">
        <f aca="false">IF(ISERROR(AG58/AF58),"",AG58/AF58)</f>
        <v>0</v>
      </c>
      <c r="AI58" s="906" t="n">
        <f aca="false">IF(ISERROR($D58/12),"",$D58/12)</f>
        <v>317.083333333333</v>
      </c>
      <c r="AJ58" s="907"/>
      <c r="AK58" s="913" t="n">
        <f aca="false">IF(ISERROR(AJ58/AI58),"",AJ58/AI58)</f>
        <v>0</v>
      </c>
      <c r="AL58" s="915" t="n">
        <f aca="false">SUM(AC58,AF58,AI58)</f>
        <v>951.25</v>
      </c>
      <c r="AM58" s="920" t="n">
        <f aca="false">SUM(AD58,AG58,AJ58)</f>
        <v>0</v>
      </c>
      <c r="AN58" s="911" t="n">
        <f aca="false">IF(ISERROR(AM58/AL58),"",AM58/AL58)</f>
        <v>0</v>
      </c>
      <c r="AO58" s="903" t="n">
        <f aca="false">IF(ISERROR($D58/12),"",$D58/12)</f>
        <v>317.083333333333</v>
      </c>
      <c r="AP58" s="907"/>
      <c r="AQ58" s="912" t="n">
        <f aca="false">IF(ISERROR(AP58/AO58),"",AP58/AO58)</f>
        <v>0</v>
      </c>
      <c r="AR58" s="906" t="n">
        <f aca="false">IF(ISERROR($D58/12),"",$D58/12)</f>
        <v>317.083333333333</v>
      </c>
      <c r="AS58" s="907"/>
      <c r="AT58" s="912" t="n">
        <f aca="false">IF(ISERROR(AS58/AR58),"",AS58/AR58)</f>
        <v>0</v>
      </c>
      <c r="AU58" s="906" t="n">
        <f aca="false">IF(ISERROR($D58/12),"",$D58/12)</f>
        <v>317.083333333333</v>
      </c>
      <c r="AV58" s="907"/>
      <c r="AW58" s="913" t="n">
        <f aca="false">IF(ISERROR(AV58/AU58),"",AV58/AU58)</f>
        <v>0</v>
      </c>
      <c r="AX58" s="909" t="n">
        <f aca="false">SUM(AO58,AR58,AU58)</f>
        <v>951.25</v>
      </c>
      <c r="AY58" s="920" t="n">
        <f aca="false">SUM(AP58,AS58,AV58)</f>
        <v>0</v>
      </c>
      <c r="AZ58" s="911" t="n">
        <f aca="false">IF(ISERROR(AY58/AX58),"",AY58/AX58)</f>
        <v>0</v>
      </c>
      <c r="BA58" s="916" t="n">
        <f aca="false">D58</f>
        <v>3805</v>
      </c>
      <c r="BB58" s="917" t="n">
        <f aca="false">SUM(F58,I58,L58,R58,U58,X58,AD58,AG58,AJ58,AP58,AS58,AV58)</f>
        <v>2372</v>
      </c>
      <c r="BC58" s="918" t="n">
        <f aca="false">IF(ISERROR(BB58/BA58),"",BB58/BA58)</f>
        <v>0.623390275952694</v>
      </c>
      <c r="BD58" s="919"/>
      <c r="BE58" s="919"/>
      <c r="BF58" s="919"/>
    </row>
    <row collapsed="false" customFormat="false" customHeight="false" hidden="false" ht="12.8" outlineLevel="0" r="59">
      <c r="A59" s="922"/>
      <c r="B59" s="942" t="str">
        <f aca="false">18_Prog_Scios_Intermedios!AJ$3</f>
        <v>ANATOMIA PATOLOGICA</v>
      </c>
      <c r="C59" s="943" t="s">
        <v>453</v>
      </c>
      <c r="D59" s="921" t="n">
        <f aca="false">18_Prog_Scios_Intermedios!AJ33</f>
        <v>2771</v>
      </c>
      <c r="E59" s="903" t="n">
        <f aca="false">IF(ISERROR($D59/12),"",$D59/12)</f>
        <v>230.916666666667</v>
      </c>
      <c r="F59" s="907" t="n">
        <v>312</v>
      </c>
      <c r="G59" s="905" t="n">
        <f aca="false">IF(ISERROR(F59/E59),"",F59/E59)</f>
        <v>1.3511367737279</v>
      </c>
      <c r="H59" s="906" t="n">
        <f aca="false">IF(ISERROR($D59/12),"",$D59/12)</f>
        <v>230.916666666667</v>
      </c>
      <c r="I59" s="907" t="n">
        <v>275</v>
      </c>
      <c r="J59" s="905" t="n">
        <f aca="false">IF(ISERROR(I59/H59),"",I59/H59)</f>
        <v>1.19090581017683</v>
      </c>
      <c r="K59" s="906" t="n">
        <f aca="false">IF(ISERROR($D59/12),"",$D59/12)</f>
        <v>230.916666666667</v>
      </c>
      <c r="L59" s="907" t="n">
        <v>321</v>
      </c>
      <c r="M59" s="908" t="n">
        <f aca="false">IF(ISERROR(L59/K59),"",L59/K59)</f>
        <v>1.39011187297005</v>
      </c>
      <c r="N59" s="909" t="n">
        <f aca="false">SUM(E59,H59,K59)</f>
        <v>692.75</v>
      </c>
      <c r="O59" s="920" t="n">
        <f aca="false">SUM(F59,I59,L59)</f>
        <v>908</v>
      </c>
      <c r="P59" s="911" t="n">
        <f aca="false">IF(ISERROR(O59/N59),"",O59/N59)</f>
        <v>1.31071815229159</v>
      </c>
      <c r="Q59" s="903" t="n">
        <f aca="false">IF(ISERROR($D59/12),"",$D59/12)</f>
        <v>230.916666666667</v>
      </c>
      <c r="R59" s="907" t="n">
        <v>244</v>
      </c>
      <c r="S59" s="912" t="n">
        <f aca="false">IF(ISERROR(R59/Q59),"",R59/Q59)</f>
        <v>1.05665824612053</v>
      </c>
      <c r="T59" s="906" t="n">
        <f aca="false">IF(ISERROR($D59/12),"",$D59/12)</f>
        <v>230.916666666667</v>
      </c>
      <c r="U59" s="907" t="n">
        <v>278</v>
      </c>
      <c r="V59" s="912" t="n">
        <f aca="false">IF(ISERROR(U59/T59),"",U59/T59)</f>
        <v>1.20389750992422</v>
      </c>
      <c r="W59" s="906" t="n">
        <f aca="false">IF(ISERROR($D59/12),"",$D59/12)</f>
        <v>230.916666666667</v>
      </c>
      <c r="X59" s="907" t="n">
        <v>299</v>
      </c>
      <c r="Y59" s="913" t="n">
        <f aca="false">IF(ISERROR(X59/W59),"",X59/W59)</f>
        <v>1.2948394081559</v>
      </c>
      <c r="Z59" s="909" t="n">
        <f aca="false">SUM(Q59,T59,W59)</f>
        <v>692.75</v>
      </c>
      <c r="AA59" s="920" t="n">
        <f aca="false">SUM(R59,U59,X59)</f>
        <v>821</v>
      </c>
      <c r="AB59" s="911" t="n">
        <f aca="false">IF(ISERROR(AA59/Z59),"",AA59/Z59)</f>
        <v>1.18513172140022</v>
      </c>
      <c r="AC59" s="903" t="n">
        <f aca="false">IF(ISERROR($D59/12),"",$D59/12)</f>
        <v>230.916666666667</v>
      </c>
      <c r="AD59" s="907"/>
      <c r="AE59" s="912" t="n">
        <f aca="false">IF(ISERROR(AD59/AC59),"",AD59/AC59)</f>
        <v>0</v>
      </c>
      <c r="AF59" s="906" t="n">
        <f aca="false">IF(ISERROR($D59/12),"",$D59/12)</f>
        <v>230.916666666667</v>
      </c>
      <c r="AG59" s="907"/>
      <c r="AH59" s="912" t="n">
        <f aca="false">IF(ISERROR(AG59/AF59),"",AG59/AF59)</f>
        <v>0</v>
      </c>
      <c r="AI59" s="906" t="n">
        <f aca="false">IF(ISERROR($D59/12),"",$D59/12)</f>
        <v>230.916666666667</v>
      </c>
      <c r="AJ59" s="907"/>
      <c r="AK59" s="913" t="n">
        <f aca="false">IF(ISERROR(AJ59/AI59),"",AJ59/AI59)</f>
        <v>0</v>
      </c>
      <c r="AL59" s="915" t="n">
        <f aca="false">SUM(AC59,AF59,AI59)</f>
        <v>692.75</v>
      </c>
      <c r="AM59" s="920" t="n">
        <f aca="false">SUM(AD59,AG59,AJ59)</f>
        <v>0</v>
      </c>
      <c r="AN59" s="911" t="n">
        <f aca="false">IF(ISERROR(AM59/AL59),"",AM59/AL59)</f>
        <v>0</v>
      </c>
      <c r="AO59" s="903" t="n">
        <f aca="false">IF(ISERROR($D59/12),"",$D59/12)</f>
        <v>230.916666666667</v>
      </c>
      <c r="AP59" s="907"/>
      <c r="AQ59" s="912" t="n">
        <f aca="false">IF(ISERROR(AP59/AO59),"",AP59/AO59)</f>
        <v>0</v>
      </c>
      <c r="AR59" s="906" t="n">
        <f aca="false">IF(ISERROR($D59/12),"",$D59/12)</f>
        <v>230.916666666667</v>
      </c>
      <c r="AS59" s="907"/>
      <c r="AT59" s="912" t="n">
        <f aca="false">IF(ISERROR(AS59/AR59),"",AS59/AR59)</f>
        <v>0</v>
      </c>
      <c r="AU59" s="906" t="n">
        <f aca="false">IF(ISERROR($D59/12),"",$D59/12)</f>
        <v>230.916666666667</v>
      </c>
      <c r="AV59" s="907"/>
      <c r="AW59" s="913" t="n">
        <f aca="false">IF(ISERROR(AV59/AU59),"",AV59/AU59)</f>
        <v>0</v>
      </c>
      <c r="AX59" s="909" t="n">
        <f aca="false">SUM(AO59,AR59,AU59)</f>
        <v>692.75</v>
      </c>
      <c r="AY59" s="920" t="n">
        <f aca="false">SUM(AP59,AS59,AV59)</f>
        <v>0</v>
      </c>
      <c r="AZ59" s="911" t="n">
        <f aca="false">IF(ISERROR(AY59/AX59),"",AY59/AX59)</f>
        <v>0</v>
      </c>
      <c r="BA59" s="916" t="n">
        <f aca="false">D59</f>
        <v>2771</v>
      </c>
      <c r="BB59" s="917" t="n">
        <f aca="false">SUM(F59,I59,L59,R59,U59,X59,AD59,AG59,AJ59,AP59,AS59,AV59)</f>
        <v>1729</v>
      </c>
      <c r="BC59" s="918" t="n">
        <f aca="false">IF(ISERROR(BB59/BA59),"",BB59/BA59)</f>
        <v>0.623962468422952</v>
      </c>
      <c r="BD59" s="919"/>
      <c r="BE59" s="919"/>
      <c r="BF59" s="919"/>
    </row>
    <row collapsed="false" customFormat="false" customHeight="false" hidden="false" ht="12.8" outlineLevel="0" r="60">
      <c r="A60" s="922"/>
      <c r="B60" s="944" t="str">
        <f aca="false">18_Prog_Scios_Intermedios!AM$3</f>
        <v>MEDICAMENTOS</v>
      </c>
      <c r="C60" s="943" t="s">
        <v>644</v>
      </c>
      <c r="D60" s="921" t="n">
        <f aca="false">18_Prog_Scios_Intermedios!AM33</f>
        <v>460180</v>
      </c>
      <c r="E60" s="903" t="n">
        <f aca="false">IF(ISERROR($D60/12),"",$D60/12)</f>
        <v>38348.3333333333</v>
      </c>
      <c r="F60" s="907" t="n">
        <v>41496</v>
      </c>
      <c r="G60" s="905" t="n">
        <f aca="false">IF(ISERROR(F60/E60),"",F60/E60)</f>
        <v>1.08208092485549</v>
      </c>
      <c r="H60" s="906" t="n">
        <f aca="false">IF(ISERROR($D60/12),"",$D60/12)</f>
        <v>38348.3333333333</v>
      </c>
      <c r="I60" s="907" t="n">
        <v>41010</v>
      </c>
      <c r="J60" s="905" t="n">
        <f aca="false">IF(ISERROR(I60/H60),"",I60/H60)</f>
        <v>1.069407623104</v>
      </c>
      <c r="K60" s="906" t="n">
        <f aca="false">IF(ISERROR($D60/12),"",$D60/12)</f>
        <v>38348.3333333333</v>
      </c>
      <c r="L60" s="907" t="n">
        <v>47449</v>
      </c>
      <c r="M60" s="908" t="n">
        <f aca="false">IF(ISERROR(L60/K60),"",L60/K60)</f>
        <v>1.23731583293494</v>
      </c>
      <c r="N60" s="909" t="n">
        <f aca="false">SUM(E60,H60,K60)</f>
        <v>115045</v>
      </c>
      <c r="O60" s="920" t="n">
        <f aca="false">SUM(F60,I60,L60)</f>
        <v>129955</v>
      </c>
      <c r="P60" s="911" t="n">
        <f aca="false">IF(ISERROR(O60/N60),"",O60/N60)</f>
        <v>1.12960146029814</v>
      </c>
      <c r="Q60" s="903" t="n">
        <f aca="false">IF(ISERROR($D60/12),"",$D60/12)</f>
        <v>38348.3333333333</v>
      </c>
      <c r="R60" s="907" t="n">
        <v>42254</v>
      </c>
      <c r="S60" s="912" t="n">
        <f aca="false">IF(ISERROR(R60/Q60),"",R60/Q60)</f>
        <v>1.1018471033074</v>
      </c>
      <c r="T60" s="906" t="n">
        <f aca="false">IF(ISERROR($D60/12),"",$D60/12)</f>
        <v>38348.3333333333</v>
      </c>
      <c r="U60" s="907" t="n">
        <v>46265</v>
      </c>
      <c r="V60" s="912" t="n">
        <f aca="false">IF(ISERROR(U60/T60),"",U60/T60)</f>
        <v>1.20644095788604</v>
      </c>
      <c r="W60" s="906" t="n">
        <f aca="false">IF(ISERROR($D60/12),"",$D60/12)</f>
        <v>38348.3333333333</v>
      </c>
      <c r="X60" s="907" t="n">
        <v>48869</v>
      </c>
      <c r="Y60" s="913" t="n">
        <f aca="false">IF(ISERROR(X60/W60),"",X60/W60)</f>
        <v>1.27434482159155</v>
      </c>
      <c r="Z60" s="909" t="n">
        <f aca="false">SUM(Q60,T60,W60)</f>
        <v>115045</v>
      </c>
      <c r="AA60" s="920" t="n">
        <f aca="false">SUM(R60,U60,X60)</f>
        <v>137388</v>
      </c>
      <c r="AB60" s="911" t="n">
        <f aca="false">IF(ISERROR(AA60/Z60),"",AA60/Z60)</f>
        <v>1.19421096092833</v>
      </c>
      <c r="AC60" s="903" t="n">
        <f aca="false">IF(ISERROR($D60/12),"",$D60/12)</f>
        <v>38348.3333333333</v>
      </c>
      <c r="AD60" s="907"/>
      <c r="AE60" s="912" t="n">
        <f aca="false">IF(ISERROR(AD60/AC60),"",AD60/AC60)</f>
        <v>0</v>
      </c>
      <c r="AF60" s="906" t="n">
        <f aca="false">IF(ISERROR($D60/12),"",$D60/12)</f>
        <v>38348.3333333333</v>
      </c>
      <c r="AG60" s="907"/>
      <c r="AH60" s="912" t="n">
        <f aca="false">IF(ISERROR(AG60/AF60),"",AG60/AF60)</f>
        <v>0</v>
      </c>
      <c r="AI60" s="906" t="n">
        <f aca="false">IF(ISERROR($D60/12),"",$D60/12)</f>
        <v>38348.3333333333</v>
      </c>
      <c r="AJ60" s="907"/>
      <c r="AK60" s="913" t="n">
        <f aca="false">IF(ISERROR(AJ60/AI60),"",AJ60/AI60)</f>
        <v>0</v>
      </c>
      <c r="AL60" s="915" t="n">
        <f aca="false">SUM(AC60,AF60,AI60)</f>
        <v>115045</v>
      </c>
      <c r="AM60" s="920" t="n">
        <f aca="false">SUM(AD60,AG60,AJ60)</f>
        <v>0</v>
      </c>
      <c r="AN60" s="911" t="n">
        <f aca="false">IF(ISERROR(AM60/AL60),"",AM60/AL60)</f>
        <v>0</v>
      </c>
      <c r="AO60" s="903" t="n">
        <f aca="false">IF(ISERROR($D60/12),"",$D60/12)</f>
        <v>38348.3333333333</v>
      </c>
      <c r="AP60" s="907"/>
      <c r="AQ60" s="912" t="n">
        <f aca="false">IF(ISERROR(AP60/AO60),"",AP60/AO60)</f>
        <v>0</v>
      </c>
      <c r="AR60" s="906" t="n">
        <f aca="false">IF(ISERROR($D60/12),"",$D60/12)</f>
        <v>38348.3333333333</v>
      </c>
      <c r="AS60" s="907"/>
      <c r="AT60" s="912" t="n">
        <f aca="false">IF(ISERROR(AS60/AR60),"",AS60/AR60)</f>
        <v>0</v>
      </c>
      <c r="AU60" s="906" t="n">
        <f aca="false">IF(ISERROR($D60/12),"",$D60/12)</f>
        <v>38348.3333333333</v>
      </c>
      <c r="AV60" s="907"/>
      <c r="AW60" s="913" t="n">
        <f aca="false">IF(ISERROR(AV60/AU60),"",AV60/AU60)</f>
        <v>0</v>
      </c>
      <c r="AX60" s="909" t="n">
        <f aca="false">SUM(AO60,AR60,AU60)</f>
        <v>115045</v>
      </c>
      <c r="AY60" s="920" t="n">
        <f aca="false">SUM(AP60,AS60,AV60)</f>
        <v>0</v>
      </c>
      <c r="AZ60" s="911" t="n">
        <f aca="false">IF(ISERROR(AY60/AX60),"",AY60/AX60)</f>
        <v>0</v>
      </c>
      <c r="BA60" s="916" t="n">
        <f aca="false">D60</f>
        <v>460180</v>
      </c>
      <c r="BB60" s="917" t="n">
        <f aca="false">SUM(F60,I60,L60,R60,U60,X60,AD60,AG60,AJ60,AP60,AS60,AV60)</f>
        <v>267343</v>
      </c>
      <c r="BC60" s="918" t="n">
        <f aca="false">IF(ISERROR(BB60/BA60),"",BB60/BA60)</f>
        <v>0.580953105306619</v>
      </c>
      <c r="BD60" s="919"/>
      <c r="BE60" s="919"/>
      <c r="BF60" s="919"/>
    </row>
    <row collapsed="false" customFormat="false" customHeight="false" hidden="false" ht="12.8" outlineLevel="0" r="61">
      <c r="A61" s="922"/>
      <c r="B61" s="944" t="str">
        <f aca="false">18_Prog_Scios_Intermedios!AP$3</f>
        <v>PREPARADOS FABRICADOS</v>
      </c>
      <c r="C61" s="943" t="s">
        <v>827</v>
      </c>
      <c r="D61" s="921" t="n">
        <f aca="false">18_Prog_Scios_Intermedios!AP33</f>
        <v>10654</v>
      </c>
      <c r="E61" s="903" t="n">
        <f aca="false">IF(ISERROR($D61/12),"",$D61/12)</f>
        <v>887.833333333333</v>
      </c>
      <c r="F61" s="907" t="n">
        <v>11772</v>
      </c>
      <c r="G61" s="905" t="n">
        <f aca="false">IF(ISERROR(F61/E61),"",F61/E61)</f>
        <v>13.2592453538577</v>
      </c>
      <c r="H61" s="906" t="n">
        <f aca="false">IF(ISERROR($D61/12),"",$D61/12)</f>
        <v>887.833333333333</v>
      </c>
      <c r="I61" s="907" t="n">
        <v>7421</v>
      </c>
      <c r="J61" s="905" t="n">
        <f aca="false">IF(ISERROR(I61/H61),"",I61/H61)</f>
        <v>8.35855077905012</v>
      </c>
      <c r="K61" s="906" t="n">
        <f aca="false">IF(ISERROR($D61/12),"",$D61/12)</f>
        <v>887.833333333333</v>
      </c>
      <c r="L61" s="907" t="n">
        <v>9288</v>
      </c>
      <c r="M61" s="908" t="n">
        <f aca="false">IF(ISERROR(L61/K61),"",L61/K61)</f>
        <v>10.4614229397409</v>
      </c>
      <c r="N61" s="909" t="n">
        <f aca="false">SUM(E61,H61,K61)</f>
        <v>2663.5</v>
      </c>
      <c r="O61" s="920" t="n">
        <f aca="false">SUM(F61,I61,L61)</f>
        <v>28481</v>
      </c>
      <c r="P61" s="911" t="n">
        <f aca="false">IF(ISERROR(O61/N61),"",O61/N61)</f>
        <v>10.6930730242163</v>
      </c>
      <c r="Q61" s="903" t="n">
        <f aca="false">IF(ISERROR($D61/12),"",$D61/12)</f>
        <v>887.833333333333</v>
      </c>
      <c r="R61" s="907" t="n">
        <v>6125</v>
      </c>
      <c r="S61" s="912" t="n">
        <f aca="false">IF(ISERROR(R61/Q61),"",R61/Q61)</f>
        <v>6.8988173455979</v>
      </c>
      <c r="T61" s="906" t="n">
        <f aca="false">IF(ISERROR($D61/12),"",$D61/12)</f>
        <v>887.833333333333</v>
      </c>
      <c r="U61" s="907" t="n">
        <v>8149</v>
      </c>
      <c r="V61" s="912" t="n">
        <f aca="false">IF(ISERROR(U61/T61),"",U61/T61)</f>
        <v>9.17852449784119</v>
      </c>
      <c r="W61" s="906" t="n">
        <f aca="false">IF(ISERROR($D61/12),"",$D61/12)</f>
        <v>887.833333333333</v>
      </c>
      <c r="X61" s="907" t="n">
        <v>8845</v>
      </c>
      <c r="Y61" s="913" t="n">
        <f aca="false">IF(ISERROR(X61/W61),"",X61/W61)</f>
        <v>9.96245541580627</v>
      </c>
      <c r="Z61" s="909" t="n">
        <f aca="false">SUM(Q61,T61,W61)</f>
        <v>2663.5</v>
      </c>
      <c r="AA61" s="920" t="n">
        <f aca="false">SUM(R61,U61,X61)</f>
        <v>23119</v>
      </c>
      <c r="AB61" s="911" t="n">
        <f aca="false">IF(ISERROR(AA61/Z61),"",AA61/Z61)</f>
        <v>8.67993241974845</v>
      </c>
      <c r="AC61" s="903" t="n">
        <f aca="false">IF(ISERROR($D61/12),"",$D61/12)</f>
        <v>887.833333333333</v>
      </c>
      <c r="AD61" s="907"/>
      <c r="AE61" s="912" t="n">
        <f aca="false">IF(ISERROR(AD61/AC61),"",AD61/AC61)</f>
        <v>0</v>
      </c>
      <c r="AF61" s="906" t="n">
        <f aca="false">IF(ISERROR($D61/12),"",$D61/12)</f>
        <v>887.833333333333</v>
      </c>
      <c r="AG61" s="907"/>
      <c r="AH61" s="912" t="n">
        <f aca="false">IF(ISERROR(AG61/AF61),"",AG61/AF61)</f>
        <v>0</v>
      </c>
      <c r="AI61" s="906" t="n">
        <f aca="false">IF(ISERROR($D61/12),"",$D61/12)</f>
        <v>887.833333333333</v>
      </c>
      <c r="AJ61" s="907"/>
      <c r="AK61" s="913" t="n">
        <f aca="false">IF(ISERROR(AJ61/AI61),"",AJ61/AI61)</f>
        <v>0</v>
      </c>
      <c r="AL61" s="915" t="n">
        <f aca="false">SUM(AC61,AF61,AI61)</f>
        <v>2663.5</v>
      </c>
      <c r="AM61" s="920" t="n">
        <f aca="false">SUM(AD61,AG61,AJ61)</f>
        <v>0</v>
      </c>
      <c r="AN61" s="911" t="n">
        <f aca="false">IF(ISERROR(AM61/AL61),"",AM61/AL61)</f>
        <v>0</v>
      </c>
      <c r="AO61" s="903" t="n">
        <f aca="false">IF(ISERROR($D61/12),"",$D61/12)</f>
        <v>887.833333333333</v>
      </c>
      <c r="AP61" s="907"/>
      <c r="AQ61" s="912" t="n">
        <f aca="false">IF(ISERROR(AP61/AO61),"",AP61/AO61)</f>
        <v>0</v>
      </c>
      <c r="AR61" s="906" t="n">
        <f aca="false">IF(ISERROR($D61/12),"",$D61/12)</f>
        <v>887.833333333333</v>
      </c>
      <c r="AS61" s="907"/>
      <c r="AT61" s="912" t="n">
        <f aca="false">IF(ISERROR(AS61/AR61),"",AS61/AR61)</f>
        <v>0</v>
      </c>
      <c r="AU61" s="906" t="n">
        <f aca="false">IF(ISERROR($D61/12),"",$D61/12)</f>
        <v>887.833333333333</v>
      </c>
      <c r="AV61" s="907"/>
      <c r="AW61" s="913" t="n">
        <f aca="false">IF(ISERROR(AV61/AU61),"",AV61/AU61)</f>
        <v>0</v>
      </c>
      <c r="AX61" s="909" t="n">
        <f aca="false">SUM(AO61,AR61,AU61)</f>
        <v>2663.5</v>
      </c>
      <c r="AY61" s="920" t="n">
        <f aca="false">SUM(AP61,AS61,AV61)</f>
        <v>0</v>
      </c>
      <c r="AZ61" s="911" t="n">
        <f aca="false">IF(ISERROR(AY61/AX61),"",AY61/AX61)</f>
        <v>0</v>
      </c>
      <c r="BA61" s="916" t="n">
        <f aca="false">D61</f>
        <v>10654</v>
      </c>
      <c r="BB61" s="917" t="n">
        <f aca="false">SUM(F61,I61,L61,R61,U61,X61,AD61,AG61,AJ61,AP61,AS61,AV61)</f>
        <v>51600</v>
      </c>
      <c r="BC61" s="918" t="n">
        <f aca="false">IF(ISERROR(BB61/BA61),"",BB61/BA61)</f>
        <v>4.84325136099118</v>
      </c>
      <c r="BD61" s="919"/>
      <c r="BE61" s="919"/>
      <c r="BF61" s="919"/>
    </row>
    <row collapsed="false" customFormat="false" customHeight="false" hidden="false" ht="12.8" outlineLevel="0" r="62">
      <c r="A62" s="922"/>
      <c r="B62" s="944" t="str">
        <f aca="false">18_Prog_Scios_Intermedios!AS$3</f>
        <v>PREPARADOS ALIMENTACION PARENTERAL</v>
      </c>
      <c r="C62" s="943" t="s">
        <v>827</v>
      </c>
      <c r="D62" s="921" t="n">
        <f aca="false">18_Prog_Scios_Intermedios!AS33</f>
        <v>9676</v>
      </c>
      <c r="E62" s="903" t="n">
        <f aca="false">IF(ISERROR($D62/12),"",$D62/12)</f>
        <v>806.333333333333</v>
      </c>
      <c r="F62" s="907" t="n">
        <v>520</v>
      </c>
      <c r="G62" s="905" t="n">
        <f aca="false">IF(ISERROR(F62/E62),"",F62/E62)</f>
        <v>0.644894584539066</v>
      </c>
      <c r="H62" s="906" t="n">
        <f aca="false">IF(ISERROR($D62/12),"",$D62/12)</f>
        <v>806.333333333333</v>
      </c>
      <c r="I62" s="907" t="n">
        <v>778</v>
      </c>
      <c r="J62" s="905" t="n">
        <f aca="false">IF(ISERROR(I62/H62),"",I62/H62)</f>
        <v>0.96486151302191</v>
      </c>
      <c r="K62" s="906" t="n">
        <f aca="false">IF(ISERROR($D62/12),"",$D62/12)</f>
        <v>806.333333333333</v>
      </c>
      <c r="L62" s="907" t="n">
        <v>886</v>
      </c>
      <c r="M62" s="908" t="n">
        <f aca="false">IF(ISERROR(L62/K62),"",L62/K62)</f>
        <v>1.0988011575031</v>
      </c>
      <c r="N62" s="909" t="n">
        <f aca="false">SUM(E62,H62,K62)</f>
        <v>2419</v>
      </c>
      <c r="O62" s="920" t="n">
        <f aca="false">SUM(F62,I62,L62)</f>
        <v>2184</v>
      </c>
      <c r="P62" s="911" t="n">
        <f aca="false">IF(ISERROR(O62/N62),"",O62/N62)</f>
        <v>0.902852418354692</v>
      </c>
      <c r="Q62" s="903" t="n">
        <f aca="false">IF(ISERROR($D62/12),"",$D62/12)</f>
        <v>806.333333333333</v>
      </c>
      <c r="R62" s="907" t="n">
        <v>618</v>
      </c>
      <c r="S62" s="912" t="n">
        <f aca="false">IF(ISERROR(R62/Q62),"",R62/Q62)</f>
        <v>0.766432410086813</v>
      </c>
      <c r="T62" s="906" t="n">
        <f aca="false">IF(ISERROR($D62/12),"",$D62/12)</f>
        <v>806.333333333333</v>
      </c>
      <c r="U62" s="907" t="n">
        <v>499</v>
      </c>
      <c r="V62" s="912" t="n">
        <f aca="false">IF(ISERROR(U62/T62),"",U62/T62)</f>
        <v>0.618850764778834</v>
      </c>
      <c r="W62" s="906" t="n">
        <f aca="false">IF(ISERROR($D62/12),"",$D62/12)</f>
        <v>806.333333333333</v>
      </c>
      <c r="X62" s="907" t="n">
        <v>449</v>
      </c>
      <c r="Y62" s="913" t="n">
        <f aca="false">IF(ISERROR(X62/W62),"",X62/W62)</f>
        <v>0.556841670111616</v>
      </c>
      <c r="Z62" s="909" t="n">
        <f aca="false">SUM(Q62,T62,W62)</f>
        <v>2419</v>
      </c>
      <c r="AA62" s="920" t="n">
        <f aca="false">SUM(R62,U62,X62)</f>
        <v>1566</v>
      </c>
      <c r="AB62" s="911" t="n">
        <f aca="false">IF(ISERROR(AA62/Z62),"",AA62/Z62)</f>
        <v>0.647374948325755</v>
      </c>
      <c r="AC62" s="903" t="n">
        <f aca="false">IF(ISERROR($D62/12),"",$D62/12)</f>
        <v>806.333333333333</v>
      </c>
      <c r="AD62" s="907"/>
      <c r="AE62" s="912" t="n">
        <f aca="false">IF(ISERROR(AD62/AC62),"",AD62/AC62)</f>
        <v>0</v>
      </c>
      <c r="AF62" s="906" t="n">
        <f aca="false">IF(ISERROR($D62/12),"",$D62/12)</f>
        <v>806.333333333333</v>
      </c>
      <c r="AG62" s="907"/>
      <c r="AH62" s="912" t="n">
        <f aca="false">IF(ISERROR(AG62/AF62),"",AG62/AF62)</f>
        <v>0</v>
      </c>
      <c r="AI62" s="906" t="n">
        <f aca="false">IF(ISERROR($D62/12),"",$D62/12)</f>
        <v>806.333333333333</v>
      </c>
      <c r="AJ62" s="907"/>
      <c r="AK62" s="913" t="n">
        <f aca="false">IF(ISERROR(AJ62/AI62),"",AJ62/AI62)</f>
        <v>0</v>
      </c>
      <c r="AL62" s="915" t="n">
        <f aca="false">SUM(AC62,AF62,AI62)</f>
        <v>2419</v>
      </c>
      <c r="AM62" s="920" t="n">
        <f aca="false">SUM(AD62,AG62,AJ62)</f>
        <v>0</v>
      </c>
      <c r="AN62" s="911" t="n">
        <f aca="false">IF(ISERROR(AM62/AL62),"",AM62/AL62)</f>
        <v>0</v>
      </c>
      <c r="AO62" s="903" t="n">
        <f aca="false">IF(ISERROR($D62/12),"",$D62/12)</f>
        <v>806.333333333333</v>
      </c>
      <c r="AP62" s="907"/>
      <c r="AQ62" s="912" t="n">
        <f aca="false">IF(ISERROR(AP62/AO62),"",AP62/AO62)</f>
        <v>0</v>
      </c>
      <c r="AR62" s="906" t="n">
        <f aca="false">IF(ISERROR($D62/12),"",$D62/12)</f>
        <v>806.333333333333</v>
      </c>
      <c r="AS62" s="907"/>
      <c r="AT62" s="912" t="n">
        <f aca="false">IF(ISERROR(AS62/AR62),"",AS62/AR62)</f>
        <v>0</v>
      </c>
      <c r="AU62" s="906" t="n">
        <f aca="false">IF(ISERROR($D62/12),"",$D62/12)</f>
        <v>806.333333333333</v>
      </c>
      <c r="AV62" s="907"/>
      <c r="AW62" s="913" t="n">
        <f aca="false">IF(ISERROR(AV62/AU62),"",AV62/AU62)</f>
        <v>0</v>
      </c>
      <c r="AX62" s="909" t="n">
        <f aca="false">SUM(AO62,AR62,AU62)</f>
        <v>2419</v>
      </c>
      <c r="AY62" s="920" t="n">
        <f aca="false">SUM(AP62,AS62,AV62)</f>
        <v>0</v>
      </c>
      <c r="AZ62" s="911" t="n">
        <f aca="false">IF(ISERROR(AY62/AX62),"",AY62/AX62)</f>
        <v>0</v>
      </c>
      <c r="BA62" s="916" t="n">
        <f aca="false">D62</f>
        <v>9676</v>
      </c>
      <c r="BB62" s="917" t="n">
        <f aca="false">SUM(F62,I62,L62,R62,U62,X62,AD62,AG62,AJ62,AP62,AS62,AV62)</f>
        <v>3750</v>
      </c>
      <c r="BC62" s="918" t="n">
        <f aca="false">IF(ISERROR(BB62/BA62),"",BB62/BA62)</f>
        <v>0.387556841670112</v>
      </c>
      <c r="BD62" s="919"/>
      <c r="BE62" s="919"/>
      <c r="BF62" s="919"/>
    </row>
    <row collapsed="false" customFormat="false" customHeight="false" hidden="false" ht="12.8" outlineLevel="0" r="63">
      <c r="A63" s="922"/>
      <c r="B63" s="925" t="s">
        <v>828</v>
      </c>
      <c r="C63" s="945"/>
      <c r="D63" s="927"/>
      <c r="E63" s="903"/>
      <c r="F63" s="906"/>
      <c r="G63" s="928"/>
      <c r="H63" s="906"/>
      <c r="I63" s="906"/>
      <c r="J63" s="928"/>
      <c r="K63" s="906"/>
      <c r="L63" s="906"/>
      <c r="M63" s="929"/>
      <c r="N63" s="915"/>
      <c r="O63" s="906"/>
      <c r="P63" s="930"/>
      <c r="Q63" s="903"/>
      <c r="R63" s="906"/>
      <c r="S63" s="931"/>
      <c r="T63" s="906"/>
      <c r="U63" s="906"/>
      <c r="V63" s="931"/>
      <c r="W63" s="906"/>
      <c r="X63" s="906"/>
      <c r="Y63" s="932"/>
      <c r="Z63" s="915"/>
      <c r="AA63" s="906"/>
      <c r="AB63" s="930"/>
      <c r="AC63" s="903"/>
      <c r="AD63" s="906"/>
      <c r="AE63" s="931"/>
      <c r="AF63" s="906"/>
      <c r="AG63" s="906"/>
      <c r="AH63" s="931"/>
      <c r="AI63" s="906"/>
      <c r="AJ63" s="906"/>
      <c r="AK63" s="932"/>
      <c r="AL63" s="915"/>
      <c r="AM63" s="906"/>
      <c r="AN63" s="930"/>
      <c r="AO63" s="903"/>
      <c r="AP63" s="906"/>
      <c r="AQ63" s="931"/>
      <c r="AR63" s="906"/>
      <c r="AS63" s="906"/>
      <c r="AT63" s="931"/>
      <c r="AU63" s="906"/>
      <c r="AV63" s="906"/>
      <c r="AW63" s="932"/>
      <c r="AX63" s="915"/>
      <c r="AY63" s="906"/>
      <c r="AZ63" s="930"/>
      <c r="BA63" s="903"/>
      <c r="BB63" s="906"/>
      <c r="BC63" s="933"/>
      <c r="BD63" s="919"/>
      <c r="BE63" s="919"/>
      <c r="BF63" s="919"/>
    </row>
    <row collapsed="false" customFormat="false" customHeight="false" hidden="false" ht="12.8" outlineLevel="0" r="64">
      <c r="A64" s="922"/>
      <c r="B64" s="944" t="str">
        <f aca="false">19_Prog_Scios_Grales!F$3</f>
        <v>ALIMENTACION </v>
      </c>
      <c r="C64" s="923" t="s">
        <v>472</v>
      </c>
      <c r="D64" s="921" t="n">
        <f aca="false">19_Prog_Scios_Grales!F33</f>
        <v>49565</v>
      </c>
      <c r="E64" s="903" t="n">
        <f aca="false">IF(ISERROR($D64/12),"",$D64/12)</f>
        <v>4130.41666666667</v>
      </c>
      <c r="F64" s="907" t="n">
        <f aca="false">568+2110</f>
        <v>2678</v>
      </c>
      <c r="G64" s="905" t="n">
        <f aca="false">IF(ISERROR(F64/E64),"",F64/E64)</f>
        <v>0.648360738424291</v>
      </c>
      <c r="H64" s="906" t="n">
        <f aca="false">IF(ISERROR($D64/12),"",$D64/12)</f>
        <v>4130.41666666667</v>
      </c>
      <c r="I64" s="907" t="n">
        <f aca="false">2250+513</f>
        <v>2763</v>
      </c>
      <c r="J64" s="905" t="n">
        <f aca="false">IF(ISERROR(I64/H64),"",I64/H64)</f>
        <v>0.668939776051649</v>
      </c>
      <c r="K64" s="906" t="n">
        <f aca="false">IF(ISERROR($D64/12),"",$D64/12)</f>
        <v>4130.41666666667</v>
      </c>
      <c r="L64" s="907" t="n">
        <v>2019</v>
      </c>
      <c r="M64" s="908" t="n">
        <f aca="false">IF(ISERROR(L64/K64),"",L64/K64)</f>
        <v>0.48881267023101</v>
      </c>
      <c r="N64" s="909" t="n">
        <f aca="false">SUM(E64,H64,K64)</f>
        <v>12391.25</v>
      </c>
      <c r="O64" s="920" t="n">
        <f aca="false">SUM(F64,I64,L64)</f>
        <v>7460</v>
      </c>
      <c r="P64" s="911" t="n">
        <f aca="false">IF(ISERROR(O64/N64),"",O64/N64)</f>
        <v>0.60203772823565</v>
      </c>
      <c r="Q64" s="903" t="n">
        <f aca="false">IF(ISERROR($D64/12),"",$D64/12)</f>
        <v>4130.41666666667</v>
      </c>
      <c r="R64" s="907" t="n">
        <v>6265</v>
      </c>
      <c r="S64" s="912" t="n">
        <f aca="false">IF(ISERROR(R64/Q64),"",R64/Q64)</f>
        <v>1.5167961262988</v>
      </c>
      <c r="T64" s="906" t="n">
        <f aca="false">IF(ISERROR($D64/12),"",$D64/12)</f>
        <v>4130.41666666667</v>
      </c>
      <c r="U64" s="907" t="n">
        <v>6852</v>
      </c>
      <c r="V64" s="912" t="n">
        <f aca="false">IF(ISERROR(U64/T64),"",U64/T64)</f>
        <v>1.65891253909008</v>
      </c>
      <c r="W64" s="906" t="n">
        <f aca="false">IF(ISERROR($D64/12),"",$D64/12)</f>
        <v>4130.41666666667</v>
      </c>
      <c r="X64" s="907" t="n">
        <v>7489</v>
      </c>
      <c r="Y64" s="913" t="n">
        <f aca="false">IF(ISERROR(X64/W64),"",X64/W64)</f>
        <v>1.81313426813276</v>
      </c>
      <c r="Z64" s="909" t="n">
        <f aca="false">SUM(Q64,T64,W64)</f>
        <v>12391.25</v>
      </c>
      <c r="AA64" s="920" t="n">
        <f aca="false">SUM(R64,U64,X64)</f>
        <v>20606</v>
      </c>
      <c r="AB64" s="911" t="n">
        <f aca="false">IF(ISERROR(AA64/Z64),"",AA64/Z64)</f>
        <v>1.66294764450721</v>
      </c>
      <c r="AC64" s="903" t="n">
        <f aca="false">IF(ISERROR($D64/12),"",$D64/12)</f>
        <v>4130.41666666667</v>
      </c>
      <c r="AD64" s="907"/>
      <c r="AE64" s="912" t="n">
        <f aca="false">IF(ISERROR(AD64/AC64),"",AD64/AC64)</f>
        <v>0</v>
      </c>
      <c r="AF64" s="906" t="n">
        <f aca="false">IF(ISERROR($D64/12),"",$D64/12)</f>
        <v>4130.41666666667</v>
      </c>
      <c r="AG64" s="907"/>
      <c r="AH64" s="912" t="n">
        <f aca="false">IF(ISERROR(AG64/AF64),"",AG64/AF64)</f>
        <v>0</v>
      </c>
      <c r="AI64" s="906" t="n">
        <f aca="false">IF(ISERROR($D64/12),"",$D64/12)</f>
        <v>4130.41666666667</v>
      </c>
      <c r="AJ64" s="907"/>
      <c r="AK64" s="913" t="n">
        <f aca="false">IF(ISERROR(AJ64/AI64),"",AJ64/AI64)</f>
        <v>0</v>
      </c>
      <c r="AL64" s="915" t="n">
        <f aca="false">SUM(AC64,AF64,AI64)</f>
        <v>12391.25</v>
      </c>
      <c r="AM64" s="920" t="n">
        <f aca="false">SUM(AD64,AG64,AJ64)</f>
        <v>0</v>
      </c>
      <c r="AN64" s="911" t="n">
        <f aca="false">IF(ISERROR(AM64/AL64),"",AM64/AL64)</f>
        <v>0</v>
      </c>
      <c r="AO64" s="903" t="n">
        <f aca="false">IF(ISERROR($D64/12),"",$D64/12)</f>
        <v>4130.41666666667</v>
      </c>
      <c r="AP64" s="907"/>
      <c r="AQ64" s="912" t="n">
        <f aca="false">IF(ISERROR(AP64/AO64),"",AP64/AO64)</f>
        <v>0</v>
      </c>
      <c r="AR64" s="906" t="n">
        <f aca="false">IF(ISERROR($D64/12),"",$D64/12)</f>
        <v>4130.41666666667</v>
      </c>
      <c r="AS64" s="907"/>
      <c r="AT64" s="912" t="n">
        <f aca="false">IF(ISERROR(AS64/AR64),"",AS64/AR64)</f>
        <v>0</v>
      </c>
      <c r="AU64" s="906" t="n">
        <f aca="false">IF(ISERROR($D64/12),"",$D64/12)</f>
        <v>4130.41666666667</v>
      </c>
      <c r="AV64" s="907"/>
      <c r="AW64" s="913" t="n">
        <f aca="false">IF(ISERROR(AV64/AU64),"",AV64/AU64)</f>
        <v>0</v>
      </c>
      <c r="AX64" s="909" t="n">
        <f aca="false">SUM(AO64,AR64,AU64)</f>
        <v>12391.25</v>
      </c>
      <c r="AY64" s="920" t="n">
        <f aca="false">SUM(AP64,AS64,AV64)</f>
        <v>0</v>
      </c>
      <c r="AZ64" s="911" t="n">
        <f aca="false">IF(ISERROR(AY64/AX64),"",AY64/AX64)</f>
        <v>0</v>
      </c>
      <c r="BA64" s="916" t="n">
        <f aca="false">D64</f>
        <v>49565</v>
      </c>
      <c r="BB64" s="917" t="n">
        <f aca="false">SUM(F64,I64,L64,R64,U64,X64,AD64,AG64,AJ64,AP64,AS64,AV64)</f>
        <v>28066</v>
      </c>
      <c r="BC64" s="918" t="n">
        <f aca="false">IF(ISERROR(BB64/BA64),"",BB64/BA64)</f>
        <v>0.566246343185716</v>
      </c>
      <c r="BD64" s="919"/>
      <c r="BE64" s="919"/>
      <c r="BF64" s="919"/>
    </row>
    <row collapsed="false" customFormat="false" customHeight="false" hidden="false" ht="12.8" outlineLevel="0" r="65">
      <c r="A65" s="922"/>
      <c r="B65" s="944" t="str">
        <f aca="false">19_Prog_Scios_Grales!I$3</f>
        <v>FORMULA ENTERAL</v>
      </c>
      <c r="C65" s="923" t="s">
        <v>472</v>
      </c>
      <c r="D65" s="921" t="n">
        <f aca="false">19_Prog_Scios_Grales!I33</f>
        <v>39560</v>
      </c>
      <c r="E65" s="903" t="n">
        <f aca="false">IF(ISERROR($D65/12),"",$D65/12)</f>
        <v>3296.66666666667</v>
      </c>
      <c r="F65" s="907" t="n">
        <v>402</v>
      </c>
      <c r="G65" s="905" t="n">
        <f aca="false">IF(ISERROR(F65/E65),"",F65/E65)</f>
        <v>0.121941354903943</v>
      </c>
      <c r="H65" s="906" t="n">
        <f aca="false">IF(ISERROR($D65/12),"",$D65/12)</f>
        <v>3296.66666666667</v>
      </c>
      <c r="I65" s="907" t="n">
        <v>760</v>
      </c>
      <c r="J65" s="905" t="n">
        <f aca="false">IF(ISERROR(I65/H65),"",I65/H65)</f>
        <v>0.230535894843276</v>
      </c>
      <c r="K65" s="906" t="n">
        <f aca="false">IF(ISERROR($D65/12),"",$D65/12)</f>
        <v>3296.66666666667</v>
      </c>
      <c r="L65" s="907" t="n">
        <v>636</v>
      </c>
      <c r="M65" s="908" t="n">
        <f aca="false">IF(ISERROR(L65/K65),"",L65/K65)</f>
        <v>0.192922143579373</v>
      </c>
      <c r="N65" s="909" t="n">
        <f aca="false">SUM(E65,H65,K65)</f>
        <v>9890</v>
      </c>
      <c r="O65" s="920" t="n">
        <f aca="false">SUM(F65,I65,L65)</f>
        <v>1798</v>
      </c>
      <c r="P65" s="911" t="n">
        <f aca="false">IF(ISERROR(O65/N65),"",O65/N65)</f>
        <v>0.181799797775531</v>
      </c>
      <c r="Q65" s="903" t="n">
        <f aca="false">IF(ISERROR($D65/12),"",$D65/12)</f>
        <v>3296.66666666667</v>
      </c>
      <c r="R65" s="907" t="n">
        <v>686</v>
      </c>
      <c r="S65" s="912" t="n">
        <f aca="false">IF(ISERROR(R65/Q65),"",R65/Q65)</f>
        <v>0.208088978766431</v>
      </c>
      <c r="T65" s="906" t="n">
        <f aca="false">IF(ISERROR($D65/12),"",$D65/12)</f>
        <v>3296.66666666667</v>
      </c>
      <c r="U65" s="907" t="n">
        <v>1222</v>
      </c>
      <c r="V65" s="912" t="n">
        <f aca="false">IF(ISERROR(U65/T65),"",U65/T65)</f>
        <v>0.370677451971689</v>
      </c>
      <c r="W65" s="906" t="n">
        <f aca="false">IF(ISERROR($D65/12),"",$D65/12)</f>
        <v>3296.66666666667</v>
      </c>
      <c r="X65" s="907" t="n">
        <v>1296</v>
      </c>
      <c r="Y65" s="913" t="n">
        <f aca="false">IF(ISERROR(X65/W65),"",X65/W65)</f>
        <v>0.393124368048534</v>
      </c>
      <c r="Z65" s="909" t="n">
        <f aca="false">SUM(Q65,T65,W65)</f>
        <v>9890</v>
      </c>
      <c r="AA65" s="920" t="n">
        <f aca="false">SUM(R65,U65,X65)</f>
        <v>3204</v>
      </c>
      <c r="AB65" s="911" t="n">
        <f aca="false">IF(ISERROR(AA65/Z65),"",AA65/Z65)</f>
        <v>0.323963599595551</v>
      </c>
      <c r="AC65" s="903" t="n">
        <f aca="false">IF(ISERROR($D65/12),"",$D65/12)</f>
        <v>3296.66666666667</v>
      </c>
      <c r="AD65" s="907"/>
      <c r="AE65" s="912" t="n">
        <f aca="false">IF(ISERROR(AD65/AC65),"",AD65/AC65)</f>
        <v>0</v>
      </c>
      <c r="AF65" s="906" t="n">
        <f aca="false">IF(ISERROR($D65/12),"",$D65/12)</f>
        <v>3296.66666666667</v>
      </c>
      <c r="AG65" s="907"/>
      <c r="AH65" s="912" t="n">
        <f aca="false">IF(ISERROR(AG65/AF65),"",AG65/AF65)</f>
        <v>0</v>
      </c>
      <c r="AI65" s="906" t="n">
        <f aca="false">IF(ISERROR($D65/12),"",$D65/12)</f>
        <v>3296.66666666667</v>
      </c>
      <c r="AJ65" s="907"/>
      <c r="AK65" s="913" t="n">
        <f aca="false">IF(ISERROR(AJ65/AI65),"",AJ65/AI65)</f>
        <v>0</v>
      </c>
      <c r="AL65" s="915" t="n">
        <f aca="false">SUM(AC65,AF65,AI65)</f>
        <v>9890</v>
      </c>
      <c r="AM65" s="920" t="n">
        <f aca="false">SUM(AD65,AG65,AJ65)</f>
        <v>0</v>
      </c>
      <c r="AN65" s="911" t="n">
        <f aca="false">IF(ISERROR(AM65/AL65),"",AM65/AL65)</f>
        <v>0</v>
      </c>
      <c r="AO65" s="903" t="n">
        <f aca="false">IF(ISERROR($D65/12),"",$D65/12)</f>
        <v>3296.66666666667</v>
      </c>
      <c r="AP65" s="907"/>
      <c r="AQ65" s="912" t="n">
        <f aca="false">IF(ISERROR(AP65/AO65),"",AP65/AO65)</f>
        <v>0</v>
      </c>
      <c r="AR65" s="906" t="n">
        <f aca="false">IF(ISERROR($D65/12),"",$D65/12)</f>
        <v>3296.66666666667</v>
      </c>
      <c r="AS65" s="907"/>
      <c r="AT65" s="912" t="n">
        <f aca="false">IF(ISERROR(AS65/AR65),"",AS65/AR65)</f>
        <v>0</v>
      </c>
      <c r="AU65" s="906" t="n">
        <f aca="false">IF(ISERROR($D65/12),"",$D65/12)</f>
        <v>3296.66666666667</v>
      </c>
      <c r="AV65" s="907"/>
      <c r="AW65" s="913" t="n">
        <f aca="false">IF(ISERROR(AV65/AU65),"",AV65/AU65)</f>
        <v>0</v>
      </c>
      <c r="AX65" s="909" t="n">
        <f aca="false">SUM(AO65,AR65,AU65)</f>
        <v>9890</v>
      </c>
      <c r="AY65" s="920" t="n">
        <f aca="false">SUM(AP65,AS65,AV65)</f>
        <v>0</v>
      </c>
      <c r="AZ65" s="911" t="n">
        <f aca="false">IF(ISERROR(AY65/AX65),"",AY65/AX65)</f>
        <v>0</v>
      </c>
      <c r="BA65" s="916" t="n">
        <f aca="false">D65</f>
        <v>39560</v>
      </c>
      <c r="BB65" s="917" t="n">
        <f aca="false">SUM(F65,I65,L65,R65,U65,X65,AD65,AG65,AJ65,AP65,AS65,AV65)</f>
        <v>5002</v>
      </c>
      <c r="BC65" s="918" t="n">
        <f aca="false">IF(ISERROR(BB65/BA65),"",BB65/BA65)</f>
        <v>0.12644084934277</v>
      </c>
      <c r="BD65" s="919"/>
      <c r="BE65" s="919"/>
      <c r="BF65" s="919"/>
    </row>
    <row collapsed="false" customFormat="false" customHeight="false" hidden="false" ht="12.8" outlineLevel="0" r="66">
      <c r="A66" s="922"/>
      <c r="B66" s="944" t="str">
        <f aca="false">19_Prog_Scios_Grales!L$3</f>
        <v>ALIMENTACION INFANTIL</v>
      </c>
      <c r="C66" s="923" t="s">
        <v>472</v>
      </c>
      <c r="D66" s="921" t="n">
        <f aca="false">19_Prog_Scios_Grales!L33</f>
        <v>308953</v>
      </c>
      <c r="E66" s="903" t="n">
        <f aca="false">IF(ISERROR($D66/12),"",$D66/12)</f>
        <v>25746.0833333333</v>
      </c>
      <c r="F66" s="907" t="n">
        <v>23951</v>
      </c>
      <c r="G66" s="905" t="n">
        <f aca="false">IF(ISERROR(F66/E66),"",F66/E66)</f>
        <v>0.930277420837474</v>
      </c>
      <c r="H66" s="906" t="n">
        <f aca="false">IF(ISERROR($D66/12),"",$D66/12)</f>
        <v>25746.0833333333</v>
      </c>
      <c r="I66" s="907" t="n">
        <v>25019</v>
      </c>
      <c r="J66" s="905" t="n">
        <f aca="false">IF(ISERROR(I66/H66),"",I66/H66)</f>
        <v>0.971759458558422</v>
      </c>
      <c r="K66" s="906" t="n">
        <f aca="false">IF(ISERROR($D66/12),"",$D66/12)</f>
        <v>25746.0833333333</v>
      </c>
      <c r="L66" s="907" t="n">
        <v>23133</v>
      </c>
      <c r="M66" s="908" t="n">
        <f aca="false">IF(ISERROR(L66/K66),"",L66/K66)</f>
        <v>0.898505597938845</v>
      </c>
      <c r="N66" s="909" t="n">
        <f aca="false">SUM(E66,H66,K66)</f>
        <v>77238.25</v>
      </c>
      <c r="O66" s="920" t="n">
        <f aca="false">SUM(F66,I66,L66)</f>
        <v>72103</v>
      </c>
      <c r="P66" s="911" t="n">
        <f aca="false">IF(ISERROR(O66/N66),"",O66/N66)</f>
        <v>0.93351415911158</v>
      </c>
      <c r="Q66" s="903" t="n">
        <f aca="false">IF(ISERROR($D66/12),"",$D66/12)</f>
        <v>25746.0833333333</v>
      </c>
      <c r="R66" s="907" t="n">
        <v>27390</v>
      </c>
      <c r="S66" s="912" t="n">
        <f aca="false">IF(ISERROR(R66/Q66),"",R66/Q66)</f>
        <v>1.0638511359333</v>
      </c>
      <c r="T66" s="906" t="n">
        <f aca="false">IF(ISERROR($D66/12),"",$D66/12)</f>
        <v>25746.0833333333</v>
      </c>
      <c r="U66" s="907" t="n">
        <v>33871</v>
      </c>
      <c r="V66" s="912" t="n">
        <f aca="false">IF(ISERROR(U66/T66),"",U66/T66)</f>
        <v>1.3155787449871</v>
      </c>
      <c r="W66" s="906" t="n">
        <f aca="false">IF(ISERROR($D66/12),"",$D66/12)</f>
        <v>25746.0833333333</v>
      </c>
      <c r="X66" s="907" t="n">
        <v>31521</v>
      </c>
      <c r="Y66" s="913" t="n">
        <f aca="false">IF(ISERROR(X66/W66),"",X66/W66)</f>
        <v>1.2243027256573</v>
      </c>
      <c r="Z66" s="909" t="n">
        <f aca="false">SUM(Q66,T66,W66)</f>
        <v>77238.25</v>
      </c>
      <c r="AA66" s="920" t="n">
        <f aca="false">SUM(R66,U66,X66)</f>
        <v>92782</v>
      </c>
      <c r="AB66" s="911" t="n">
        <f aca="false">IF(ISERROR(AA66/Z66),"",AA66/Z66)</f>
        <v>1.20124420219257</v>
      </c>
      <c r="AC66" s="903" t="n">
        <f aca="false">IF(ISERROR($D66/12),"",$D66/12)</f>
        <v>25746.0833333333</v>
      </c>
      <c r="AD66" s="907"/>
      <c r="AE66" s="912" t="n">
        <f aca="false">IF(ISERROR(AD66/AC66),"",AD66/AC66)</f>
        <v>0</v>
      </c>
      <c r="AF66" s="906" t="n">
        <f aca="false">IF(ISERROR($D66/12),"",$D66/12)</f>
        <v>25746.0833333333</v>
      </c>
      <c r="AG66" s="907"/>
      <c r="AH66" s="912" t="n">
        <f aca="false">IF(ISERROR(AG66/AF66),"",AG66/AF66)</f>
        <v>0</v>
      </c>
      <c r="AI66" s="906" t="n">
        <f aca="false">IF(ISERROR($D66/12),"",$D66/12)</f>
        <v>25746.0833333333</v>
      </c>
      <c r="AJ66" s="907"/>
      <c r="AK66" s="913" t="n">
        <f aca="false">IF(ISERROR(AJ66/AI66),"",AJ66/AI66)</f>
        <v>0</v>
      </c>
      <c r="AL66" s="915" t="n">
        <f aca="false">SUM(AC66,AF66,AI66)</f>
        <v>77238.25</v>
      </c>
      <c r="AM66" s="920" t="n">
        <f aca="false">SUM(AD66,AG66,AJ66)</f>
        <v>0</v>
      </c>
      <c r="AN66" s="911" t="n">
        <f aca="false">IF(ISERROR(AM66/AL66),"",AM66/AL66)</f>
        <v>0</v>
      </c>
      <c r="AO66" s="903" t="n">
        <f aca="false">IF(ISERROR($D66/12),"",$D66/12)</f>
        <v>25746.0833333333</v>
      </c>
      <c r="AP66" s="907"/>
      <c r="AQ66" s="912" t="n">
        <f aca="false">IF(ISERROR(AP66/AO66),"",AP66/AO66)</f>
        <v>0</v>
      </c>
      <c r="AR66" s="906" t="n">
        <f aca="false">IF(ISERROR($D66/12),"",$D66/12)</f>
        <v>25746.0833333333</v>
      </c>
      <c r="AS66" s="907"/>
      <c r="AT66" s="912" t="n">
        <f aca="false">IF(ISERROR(AS66/AR66),"",AS66/AR66)</f>
        <v>0</v>
      </c>
      <c r="AU66" s="906" t="n">
        <f aca="false">IF(ISERROR($D66/12),"",$D66/12)</f>
        <v>25746.0833333333</v>
      </c>
      <c r="AV66" s="907"/>
      <c r="AW66" s="913" t="n">
        <f aca="false">IF(ISERROR(AV66/AU66),"",AV66/AU66)</f>
        <v>0</v>
      </c>
      <c r="AX66" s="909" t="n">
        <f aca="false">SUM(AO66,AR66,AU66)</f>
        <v>77238.25</v>
      </c>
      <c r="AY66" s="920" t="n">
        <f aca="false">SUM(AP66,AS66,AV66)</f>
        <v>0</v>
      </c>
      <c r="AZ66" s="911" t="n">
        <f aca="false">IF(ISERROR(AY66/AX66),"",AY66/AX66)</f>
        <v>0</v>
      </c>
      <c r="BA66" s="916" t="n">
        <f aca="false">D66</f>
        <v>308953</v>
      </c>
      <c r="BB66" s="917" t="n">
        <f aca="false">SUM(F66,I66,L66,R66,U66,X66,AD66,AG66,AJ66,AP66,AS66,AV66)</f>
        <v>164885</v>
      </c>
      <c r="BC66" s="918" t="n">
        <f aca="false">IF(ISERROR(BB66/BA66),"",BB66/BA66)</f>
        <v>0.533689590326037</v>
      </c>
      <c r="BD66" s="919"/>
      <c r="BE66" s="919"/>
      <c r="BF66" s="919"/>
    </row>
    <row collapsed="false" customFormat="false" customHeight="false" hidden="false" ht="12.8" outlineLevel="0" r="67">
      <c r="A67" s="922"/>
      <c r="B67" s="944" t="str">
        <f aca="false">19_Prog_Scios_Grales!O$3</f>
        <v>LAVANDERIA</v>
      </c>
      <c r="C67" s="923" t="s">
        <v>478</v>
      </c>
      <c r="D67" s="921" t="n">
        <f aca="false">19_Prog_Scios_Grales!O33</f>
        <v>997046</v>
      </c>
      <c r="E67" s="903" t="n">
        <f aca="false">IF(ISERROR($D67/12),"",$D67/12)</f>
        <v>83087.1666666667</v>
      </c>
      <c r="F67" s="907" t="n">
        <v>115994</v>
      </c>
      <c r="G67" s="905" t="n">
        <f aca="false">IF(ISERROR(F67/E67),"",F67/E67)</f>
        <v>1.39605193742315</v>
      </c>
      <c r="H67" s="906" t="n">
        <f aca="false">IF(ISERROR($D67/12),"",$D67/12)</f>
        <v>83087.1666666667</v>
      </c>
      <c r="I67" s="907" t="n">
        <v>118098</v>
      </c>
      <c r="J67" s="905" t="n">
        <f aca="false">IF(ISERROR(I67/H67),"",I67/H67)</f>
        <v>1.42137474098487</v>
      </c>
      <c r="K67" s="906" t="n">
        <f aca="false">IF(ISERROR($D67/12),"",$D67/12)</f>
        <v>83087.1666666667</v>
      </c>
      <c r="L67" s="907" t="n">
        <v>129908</v>
      </c>
      <c r="M67" s="908" t="n">
        <f aca="false">IF(ISERROR(L67/K67),"",L67/K67)</f>
        <v>1.56351462219396</v>
      </c>
      <c r="N67" s="909" t="n">
        <f aca="false">SUM(E67,H67,K67)</f>
        <v>249261.5</v>
      </c>
      <c r="O67" s="920" t="n">
        <f aca="false">SUM(F67,I67,L67)</f>
        <v>364000</v>
      </c>
      <c r="P67" s="911" t="n">
        <f aca="false">IF(ISERROR(O67/N67),"",O67/N67)</f>
        <v>1.46031376686733</v>
      </c>
      <c r="Q67" s="903" t="n">
        <f aca="false">IF(ISERROR($D67/12),"",$D67/12)</f>
        <v>83087.1666666667</v>
      </c>
      <c r="R67" s="907" t="n">
        <v>118006</v>
      </c>
      <c r="S67" s="912" t="n">
        <f aca="false">IF(ISERROR(R67/Q67),"",R67/Q67)</f>
        <v>1.4202674701067</v>
      </c>
      <c r="T67" s="906" t="n">
        <f aca="false">IF(ISERROR($D67/12),"",$D67/12)</f>
        <v>83087.1666666667</v>
      </c>
      <c r="U67" s="907" t="n">
        <v>132500</v>
      </c>
      <c r="V67" s="912" t="n">
        <f aca="false">IF(ISERROR(U67/T67),"",U67/T67)</f>
        <v>1.59471077563121</v>
      </c>
      <c r="W67" s="906" t="n">
        <f aca="false">IF(ISERROR($D67/12),"",$D67/12)</f>
        <v>83087.1666666667</v>
      </c>
      <c r="X67" s="907" t="n">
        <v>114883</v>
      </c>
      <c r="Y67" s="913" t="n">
        <f aca="false">IF(ISERROR(X67/W67),"",X67/W67)</f>
        <v>1.38268043801389</v>
      </c>
      <c r="Z67" s="909" t="n">
        <f aca="false">SUM(Q67,T67,W67)</f>
        <v>249261.5</v>
      </c>
      <c r="AA67" s="920" t="n">
        <f aca="false">SUM(R67,U67,X67)</f>
        <v>365389</v>
      </c>
      <c r="AB67" s="911" t="n">
        <f aca="false">IF(ISERROR(AA67/Z67),"",AA67/Z67)</f>
        <v>1.46588622791727</v>
      </c>
      <c r="AC67" s="903" t="n">
        <f aca="false">IF(ISERROR($D67/12),"",$D67/12)</f>
        <v>83087.1666666667</v>
      </c>
      <c r="AD67" s="907"/>
      <c r="AE67" s="912" t="n">
        <f aca="false">IF(ISERROR(AD67/AC67),"",AD67/AC67)</f>
        <v>0</v>
      </c>
      <c r="AF67" s="906" t="n">
        <f aca="false">IF(ISERROR($D67/12),"",$D67/12)</f>
        <v>83087.1666666667</v>
      </c>
      <c r="AG67" s="907"/>
      <c r="AH67" s="912" t="n">
        <f aca="false">IF(ISERROR(AG67/AF67),"",AG67/AF67)</f>
        <v>0</v>
      </c>
      <c r="AI67" s="906" t="n">
        <f aca="false">IF(ISERROR($D67/12),"",$D67/12)</f>
        <v>83087.1666666667</v>
      </c>
      <c r="AJ67" s="907"/>
      <c r="AK67" s="913" t="n">
        <f aca="false">IF(ISERROR(AJ67/AI67),"",AJ67/AI67)</f>
        <v>0</v>
      </c>
      <c r="AL67" s="915" t="n">
        <f aca="false">SUM(AC67,AF67,AI67)</f>
        <v>249261.5</v>
      </c>
      <c r="AM67" s="920" t="n">
        <f aca="false">SUM(AD67,AG67,AJ67)</f>
        <v>0</v>
      </c>
      <c r="AN67" s="911" t="n">
        <f aca="false">IF(ISERROR(AM67/AL67),"",AM67/AL67)</f>
        <v>0</v>
      </c>
      <c r="AO67" s="903" t="n">
        <f aca="false">IF(ISERROR($D67/12),"",$D67/12)</f>
        <v>83087.1666666667</v>
      </c>
      <c r="AP67" s="907"/>
      <c r="AQ67" s="912" t="n">
        <f aca="false">IF(ISERROR(AP67/AO67),"",AP67/AO67)</f>
        <v>0</v>
      </c>
      <c r="AR67" s="906" t="n">
        <f aca="false">IF(ISERROR($D67/12),"",$D67/12)</f>
        <v>83087.1666666667</v>
      </c>
      <c r="AS67" s="907"/>
      <c r="AT67" s="912" t="n">
        <f aca="false">IF(ISERROR(AS67/AR67),"",AS67/AR67)</f>
        <v>0</v>
      </c>
      <c r="AU67" s="906" t="n">
        <f aca="false">IF(ISERROR($D67/12),"",$D67/12)</f>
        <v>83087.1666666667</v>
      </c>
      <c r="AV67" s="907"/>
      <c r="AW67" s="913" t="n">
        <f aca="false">IF(ISERROR(AV67/AU67),"",AV67/AU67)</f>
        <v>0</v>
      </c>
      <c r="AX67" s="909" t="n">
        <f aca="false">SUM(AO67,AR67,AU67)</f>
        <v>249261.5</v>
      </c>
      <c r="AY67" s="920" t="n">
        <f aca="false">SUM(AP67,AS67,AV67)</f>
        <v>0</v>
      </c>
      <c r="AZ67" s="911" t="n">
        <f aca="false">IF(ISERROR(AY67/AX67),"",AY67/AX67)</f>
        <v>0</v>
      </c>
      <c r="BA67" s="916" t="n">
        <f aca="false">D67</f>
        <v>997046</v>
      </c>
      <c r="BB67" s="917" t="n">
        <f aca="false">SUM(F67,I67,L67,R67,U67,X67,AD67,AG67,AJ67,AP67,AS67,AV67)</f>
        <v>729389</v>
      </c>
      <c r="BC67" s="918" t="n">
        <f aca="false">IF(ISERROR(BB67/BA67),"",BB67/BA67)</f>
        <v>0.731549998696148</v>
      </c>
      <c r="BD67" s="919"/>
      <c r="BE67" s="919"/>
      <c r="BF67" s="919"/>
    </row>
    <row collapsed="false" customFormat="false" customHeight="false" hidden="false" ht="12.8" outlineLevel="0" r="68">
      <c r="A68" s="922"/>
      <c r="B68" s="944" t="str">
        <f aca="false">19_Prog_Scios_Grales!R$3</f>
        <v>MANTENIMIENTO PREVENTIVO</v>
      </c>
      <c r="C68" s="923" t="s">
        <v>829</v>
      </c>
      <c r="D68" s="921" t="n">
        <f aca="false">19_Prog_Scios_Grales!R33</f>
        <v>1240</v>
      </c>
      <c r="E68" s="903" t="n">
        <f aca="false">IF(ISERROR($D68/12),"",$D68/12)</f>
        <v>103.333333333333</v>
      </c>
      <c r="F68" s="907" t="n">
        <v>214</v>
      </c>
      <c r="G68" s="905" t="n">
        <f aca="false">IF(ISERROR(F68/E68),"",F68/E68)</f>
        <v>2.07096774193548</v>
      </c>
      <c r="H68" s="906" t="n">
        <f aca="false">IF(ISERROR($D68/12),"",$D68/12)</f>
        <v>103.333333333333</v>
      </c>
      <c r="I68" s="907" t="n">
        <v>204</v>
      </c>
      <c r="J68" s="905" t="n">
        <f aca="false">IF(ISERROR(I68/H68),"",I68/H68)</f>
        <v>1.9741935483871</v>
      </c>
      <c r="K68" s="906" t="n">
        <f aca="false">IF(ISERROR($D68/12),"",$D68/12)</f>
        <v>103.333333333333</v>
      </c>
      <c r="L68" s="907" t="n">
        <v>288</v>
      </c>
      <c r="M68" s="908" t="n">
        <f aca="false">IF(ISERROR(L68/K68),"",L68/K68)</f>
        <v>2.78709677419355</v>
      </c>
      <c r="N68" s="909" t="n">
        <f aca="false">SUM(E68,H68,K68)</f>
        <v>310</v>
      </c>
      <c r="O68" s="920" t="n">
        <f aca="false">SUM(F68,I68,L68)</f>
        <v>706</v>
      </c>
      <c r="P68" s="911" t="n">
        <f aca="false">IF(ISERROR(O68/N68),"",O68/N68)</f>
        <v>2.27741935483871</v>
      </c>
      <c r="Q68" s="903" t="n">
        <f aca="false">IF(ISERROR($D68/12),"",$D68/12)</f>
        <v>103.333333333333</v>
      </c>
      <c r="R68" s="907" t="n">
        <v>357</v>
      </c>
      <c r="S68" s="912" t="n">
        <f aca="false">IF(ISERROR(R68/Q68),"",R68/Q68)</f>
        <v>3.45483870967742</v>
      </c>
      <c r="T68" s="906" t="n">
        <f aca="false">IF(ISERROR($D68/12),"",$D68/12)</f>
        <v>103.333333333333</v>
      </c>
      <c r="U68" s="907" t="n">
        <f aca="false">772+1</f>
        <v>773</v>
      </c>
      <c r="V68" s="912" t="n">
        <f aca="false">IF(ISERROR(U68/T68),"",U68/T68)</f>
        <v>7.48064516129032</v>
      </c>
      <c r="W68" s="906" t="n">
        <f aca="false">IF(ISERROR($D68/12),"",$D68/12)</f>
        <v>103.333333333333</v>
      </c>
      <c r="X68" s="907" t="n">
        <v>724</v>
      </c>
      <c r="Y68" s="913" t="n">
        <f aca="false">IF(ISERROR(X68/W68),"",X68/W68)</f>
        <v>7.00645161290323</v>
      </c>
      <c r="Z68" s="909" t="n">
        <f aca="false">SUM(Q68,T68,W68)</f>
        <v>310</v>
      </c>
      <c r="AA68" s="920" t="n">
        <f aca="false">SUM(R68,U68,X68)</f>
        <v>1854</v>
      </c>
      <c r="AB68" s="911" t="n">
        <f aca="false">IF(ISERROR(AA68/Z68),"",AA68/Z68)</f>
        <v>5.98064516129032</v>
      </c>
      <c r="AC68" s="903" t="n">
        <f aca="false">IF(ISERROR($D68/12),"",$D68/12)</f>
        <v>103.333333333333</v>
      </c>
      <c r="AD68" s="907"/>
      <c r="AE68" s="912" t="n">
        <f aca="false">IF(ISERROR(AD68/AC68),"",AD68/AC68)</f>
        <v>0</v>
      </c>
      <c r="AF68" s="906" t="n">
        <f aca="false">IF(ISERROR($D68/12),"",$D68/12)</f>
        <v>103.333333333333</v>
      </c>
      <c r="AG68" s="907"/>
      <c r="AH68" s="912" t="n">
        <f aca="false">IF(ISERROR(AG68/AF68),"",AG68/AF68)</f>
        <v>0</v>
      </c>
      <c r="AI68" s="906" t="n">
        <f aca="false">IF(ISERROR($D68/12),"",$D68/12)</f>
        <v>103.333333333333</v>
      </c>
      <c r="AJ68" s="907"/>
      <c r="AK68" s="913" t="n">
        <f aca="false">IF(ISERROR(AJ68/AI68),"",AJ68/AI68)</f>
        <v>0</v>
      </c>
      <c r="AL68" s="915" t="n">
        <f aca="false">SUM(AC68,AF68,AI68)</f>
        <v>310</v>
      </c>
      <c r="AM68" s="920" t="n">
        <f aca="false">SUM(AD68,AG68,AJ68)</f>
        <v>0</v>
      </c>
      <c r="AN68" s="911" t="n">
        <f aca="false">IF(ISERROR(AM68/AL68),"",AM68/AL68)</f>
        <v>0</v>
      </c>
      <c r="AO68" s="903" t="n">
        <f aca="false">IF(ISERROR($D68/12),"",$D68/12)</f>
        <v>103.333333333333</v>
      </c>
      <c r="AP68" s="907"/>
      <c r="AQ68" s="912" t="n">
        <f aca="false">IF(ISERROR(AP68/AO68),"",AP68/AO68)</f>
        <v>0</v>
      </c>
      <c r="AR68" s="906" t="n">
        <f aca="false">IF(ISERROR($D68/12),"",$D68/12)</f>
        <v>103.333333333333</v>
      </c>
      <c r="AS68" s="907"/>
      <c r="AT68" s="912" t="n">
        <f aca="false">IF(ISERROR(AS68/AR68),"",AS68/AR68)</f>
        <v>0</v>
      </c>
      <c r="AU68" s="906" t="n">
        <f aca="false">IF(ISERROR($D68/12),"",$D68/12)</f>
        <v>103.333333333333</v>
      </c>
      <c r="AV68" s="907"/>
      <c r="AW68" s="913" t="n">
        <f aca="false">IF(ISERROR(AV68/AU68),"",AV68/AU68)</f>
        <v>0</v>
      </c>
      <c r="AX68" s="909" t="n">
        <f aca="false">SUM(AO68,AR68,AU68)</f>
        <v>310</v>
      </c>
      <c r="AY68" s="920" t="n">
        <f aca="false">SUM(AP68,AS68,AV68)</f>
        <v>0</v>
      </c>
      <c r="AZ68" s="911" t="n">
        <f aca="false">IF(ISERROR(AY68/AX68),"",AY68/AX68)</f>
        <v>0</v>
      </c>
      <c r="BA68" s="916" t="n">
        <f aca="false">D68</f>
        <v>1240</v>
      </c>
      <c r="BB68" s="917" t="n">
        <f aca="false">SUM(F68,I68,L68,R68,U68,X68,AD68,AG68,AJ68,AP68,AS68,AV68)</f>
        <v>2560</v>
      </c>
      <c r="BC68" s="918" t="n">
        <f aca="false">IF(ISERROR(BB68/BA68),"",BB68/BA68)</f>
        <v>2.06451612903226</v>
      </c>
      <c r="BD68" s="919"/>
      <c r="BE68" s="919"/>
      <c r="BF68" s="919"/>
    </row>
    <row collapsed="false" customFormat="false" customHeight="false" hidden="false" ht="12.8" outlineLevel="0" r="69">
      <c r="A69" s="922"/>
      <c r="B69" s="944" t="str">
        <f aca="false">19_Prog_Scios_Grales!U$3</f>
        <v>MANTENIMIENTO CORRECTIVO</v>
      </c>
      <c r="C69" s="923" t="s">
        <v>829</v>
      </c>
      <c r="D69" s="921" t="n">
        <f aca="false">19_Prog_Scios_Grales!U33</f>
        <v>2355</v>
      </c>
      <c r="E69" s="903" t="n">
        <f aca="false">IF(ISERROR($D69/12),"",$D69/12)</f>
        <v>196.25</v>
      </c>
      <c r="F69" s="907" t="n">
        <v>859</v>
      </c>
      <c r="G69" s="905" t="n">
        <f aca="false">IF(ISERROR(F69/E69),"",F69/E69)</f>
        <v>4.37707006369427</v>
      </c>
      <c r="H69" s="906" t="n">
        <f aca="false">IF(ISERROR($D69/12),"",$D69/12)</f>
        <v>196.25</v>
      </c>
      <c r="I69" s="907" t="n">
        <v>548</v>
      </c>
      <c r="J69" s="905" t="n">
        <f aca="false">IF(ISERROR(I69/H69),"",I69/H69)</f>
        <v>2.79235668789809</v>
      </c>
      <c r="K69" s="906" t="n">
        <f aca="false">IF(ISERROR($D69/12),"",$D69/12)</f>
        <v>196.25</v>
      </c>
      <c r="L69" s="907" t="n">
        <v>726</v>
      </c>
      <c r="M69" s="908" t="n">
        <f aca="false">IF(ISERROR(L69/K69),"",L69/K69)</f>
        <v>3.69936305732484</v>
      </c>
      <c r="N69" s="909" t="n">
        <f aca="false">SUM(E69,H69,K69)</f>
        <v>588.75</v>
      </c>
      <c r="O69" s="920" t="n">
        <f aca="false">SUM(F69,I69,L69)</f>
        <v>2133</v>
      </c>
      <c r="P69" s="911" t="n">
        <f aca="false">IF(ISERROR(O69/N69),"",O69/N69)</f>
        <v>3.62292993630573</v>
      </c>
      <c r="Q69" s="903" t="n">
        <f aca="false">IF(ISERROR($D69/12),"",$D69/12)</f>
        <v>196.25</v>
      </c>
      <c r="R69" s="907" t="n">
        <v>750</v>
      </c>
      <c r="S69" s="912" t="n">
        <f aca="false">IF(ISERROR(R69/Q69),"",R69/Q69)</f>
        <v>3.82165605095541</v>
      </c>
      <c r="T69" s="906" t="n">
        <f aca="false">IF(ISERROR($D69/12),"",$D69/12)</f>
        <v>196.25</v>
      </c>
      <c r="U69" s="907" t="n">
        <f aca="false">341+263</f>
        <v>604</v>
      </c>
      <c r="V69" s="912" t="n">
        <f aca="false">IF(ISERROR(U69/T69),"",U69/T69)</f>
        <v>3.07770700636943</v>
      </c>
      <c r="W69" s="906" t="n">
        <f aca="false">IF(ISERROR($D69/12),"",$D69/12)</f>
        <v>196.25</v>
      </c>
      <c r="X69" s="907" t="n">
        <f aca="false">207+338</f>
        <v>545</v>
      </c>
      <c r="Y69" s="913" t="n">
        <f aca="false">IF(ISERROR(X69/W69),"",X69/W69)</f>
        <v>2.77707006369427</v>
      </c>
      <c r="Z69" s="909" t="n">
        <f aca="false">SUM(Q69,T69,W69)</f>
        <v>588.75</v>
      </c>
      <c r="AA69" s="920" t="n">
        <f aca="false">SUM(R69,U69,X69)</f>
        <v>1899</v>
      </c>
      <c r="AB69" s="911" t="n">
        <f aca="false">IF(ISERROR(AA69/Z69),"",AA69/Z69)</f>
        <v>3.22547770700637</v>
      </c>
      <c r="AC69" s="903" t="n">
        <f aca="false">IF(ISERROR($D69/12),"",$D69/12)</f>
        <v>196.25</v>
      </c>
      <c r="AD69" s="907"/>
      <c r="AE69" s="912" t="n">
        <f aca="false">IF(ISERROR(AD69/AC69),"",AD69/AC69)</f>
        <v>0</v>
      </c>
      <c r="AF69" s="906" t="n">
        <f aca="false">IF(ISERROR($D69/12),"",$D69/12)</f>
        <v>196.25</v>
      </c>
      <c r="AG69" s="907"/>
      <c r="AH69" s="912" t="n">
        <f aca="false">IF(ISERROR(AG69/AF69),"",AG69/AF69)</f>
        <v>0</v>
      </c>
      <c r="AI69" s="906" t="n">
        <f aca="false">IF(ISERROR($D69/12),"",$D69/12)</f>
        <v>196.25</v>
      </c>
      <c r="AJ69" s="907"/>
      <c r="AK69" s="913" t="n">
        <f aca="false">IF(ISERROR(AJ69/AI69),"",AJ69/AI69)</f>
        <v>0</v>
      </c>
      <c r="AL69" s="915" t="n">
        <f aca="false">SUM(AC69,AF69,AI69)</f>
        <v>588.75</v>
      </c>
      <c r="AM69" s="920" t="n">
        <f aca="false">SUM(AD69,AG69,AJ69)</f>
        <v>0</v>
      </c>
      <c r="AN69" s="911" t="n">
        <f aca="false">IF(ISERROR(AM69/AL69),"",AM69/AL69)</f>
        <v>0</v>
      </c>
      <c r="AO69" s="903" t="n">
        <f aca="false">IF(ISERROR($D69/12),"",$D69/12)</f>
        <v>196.25</v>
      </c>
      <c r="AP69" s="907"/>
      <c r="AQ69" s="912" t="n">
        <f aca="false">IF(ISERROR(AP69/AO69),"",AP69/AO69)</f>
        <v>0</v>
      </c>
      <c r="AR69" s="906" t="n">
        <f aca="false">IF(ISERROR($D69/12),"",$D69/12)</f>
        <v>196.25</v>
      </c>
      <c r="AS69" s="907"/>
      <c r="AT69" s="912" t="n">
        <f aca="false">IF(ISERROR(AS69/AR69),"",AS69/AR69)</f>
        <v>0</v>
      </c>
      <c r="AU69" s="906" t="n">
        <f aca="false">IF(ISERROR($D69/12),"",$D69/12)</f>
        <v>196.25</v>
      </c>
      <c r="AV69" s="907"/>
      <c r="AW69" s="913" t="n">
        <f aca="false">IF(ISERROR(AV69/AU69),"",AV69/AU69)</f>
        <v>0</v>
      </c>
      <c r="AX69" s="909" t="n">
        <f aca="false">SUM(AO69,AR69,AU69)</f>
        <v>588.75</v>
      </c>
      <c r="AY69" s="920" t="n">
        <f aca="false">SUM(AP69,AS69,AV69)</f>
        <v>0</v>
      </c>
      <c r="AZ69" s="911" t="n">
        <f aca="false">IF(ISERROR(AY69/AX69),"",AY69/AX69)</f>
        <v>0</v>
      </c>
      <c r="BA69" s="916" t="n">
        <f aca="false">D69</f>
        <v>2355</v>
      </c>
      <c r="BB69" s="917" t="n">
        <f aca="false">SUM(F69,I69,L69,R69,U69,X69,AD69,AG69,AJ69,AP69,AS69,AV69)</f>
        <v>4032</v>
      </c>
      <c r="BC69" s="918" t="n">
        <f aca="false">IF(ISERROR(BB69/BA69),"",BB69/BA69)</f>
        <v>1.71210191082803</v>
      </c>
      <c r="BD69" s="919"/>
      <c r="BE69" s="919"/>
      <c r="BF69" s="919"/>
    </row>
    <row collapsed="false" customFormat="false" customHeight="false" hidden="false" ht="12.8" outlineLevel="0" r="70">
      <c r="A70" s="922"/>
      <c r="B70" s="944" t="str">
        <f aca="false">19_Prog_Scios_Grales!X$3</f>
        <v>TRANSPORTE</v>
      </c>
      <c r="C70" s="923" t="s">
        <v>484</v>
      </c>
      <c r="D70" s="921" t="n">
        <f aca="false">19_Prog_Scios_Grales!X33</f>
        <v>34327</v>
      </c>
      <c r="E70" s="903" t="n">
        <f aca="false">IF(ISERROR($D70/12),"",$D70/12)</f>
        <v>2860.58333333333</v>
      </c>
      <c r="F70" s="907" t="n">
        <v>6715</v>
      </c>
      <c r="G70" s="905" t="n">
        <f aca="false">IF(ISERROR(F70/E70),"",F70/E70)</f>
        <v>2.34742331109622</v>
      </c>
      <c r="H70" s="906" t="n">
        <f aca="false">IF(ISERROR($D70/12),"",$D70/12)</f>
        <v>2860.58333333333</v>
      </c>
      <c r="I70" s="907" t="n">
        <v>6835</v>
      </c>
      <c r="J70" s="905" t="n">
        <f aca="false">IF(ISERROR(I70/H70),"",I70/H70)</f>
        <v>2.3893727969237</v>
      </c>
      <c r="K70" s="906" t="n">
        <f aca="false">IF(ISERROR($D70/12),"",$D70/12)</f>
        <v>2860.58333333333</v>
      </c>
      <c r="L70" s="907" t="n">
        <v>6573</v>
      </c>
      <c r="M70" s="908" t="n">
        <f aca="false">IF(ISERROR(L70/K70),"",L70/K70)</f>
        <v>2.29778308620037</v>
      </c>
      <c r="N70" s="909" t="n">
        <f aca="false">SUM(E70,H70,K70)</f>
        <v>8581.75</v>
      </c>
      <c r="O70" s="920" t="n">
        <f aca="false">SUM(F70,I70,L70)</f>
        <v>20123</v>
      </c>
      <c r="P70" s="911" t="n">
        <f aca="false">IF(ISERROR(O70/N70),"",O70/N70)</f>
        <v>2.34485973140676</v>
      </c>
      <c r="Q70" s="903" t="n">
        <f aca="false">IF(ISERROR($D70/12),"",$D70/12)</f>
        <v>2860.58333333333</v>
      </c>
      <c r="R70" s="907" t="n">
        <v>227</v>
      </c>
      <c r="S70" s="912" t="n">
        <f aca="false">IF(ISERROR(R70/Q70),"",R70/Q70)</f>
        <v>0.0793544440236548</v>
      </c>
      <c r="T70" s="906" t="n">
        <f aca="false">IF(ISERROR($D70/12),"",$D70/12)</f>
        <v>2860.58333333333</v>
      </c>
      <c r="U70" s="907" t="n">
        <v>7523</v>
      </c>
      <c r="V70" s="912" t="n">
        <f aca="false">IF(ISERROR(U70/T70),"",U70/T70)</f>
        <v>2.62988318233461</v>
      </c>
      <c r="W70" s="906" t="n">
        <f aca="false">IF(ISERROR($D70/12),"",$D70/12)</f>
        <v>2860.58333333333</v>
      </c>
      <c r="X70" s="907" t="n">
        <v>8086</v>
      </c>
      <c r="Y70" s="913" t="n">
        <f aca="false">IF(ISERROR(X70/W70),"",X70/W70)</f>
        <v>2.82669618667521</v>
      </c>
      <c r="Z70" s="909" t="n">
        <f aca="false">SUM(Q70,T70,W70)</f>
        <v>8581.75</v>
      </c>
      <c r="AA70" s="920" t="n">
        <f aca="false">SUM(R70,U70,X70)</f>
        <v>15836</v>
      </c>
      <c r="AB70" s="911" t="n">
        <f aca="false">IF(ISERROR(AA70/Z70),"",AA70/Z70)</f>
        <v>1.84531127101116</v>
      </c>
      <c r="AC70" s="903" t="n">
        <f aca="false">IF(ISERROR($D70/12),"",$D70/12)</f>
        <v>2860.58333333333</v>
      </c>
      <c r="AD70" s="907"/>
      <c r="AE70" s="912" t="n">
        <f aca="false">IF(ISERROR(AD70/AC70),"",AD70/AC70)</f>
        <v>0</v>
      </c>
      <c r="AF70" s="906" t="n">
        <f aca="false">IF(ISERROR($D70/12),"",$D70/12)</f>
        <v>2860.58333333333</v>
      </c>
      <c r="AG70" s="907"/>
      <c r="AH70" s="912" t="n">
        <f aca="false">IF(ISERROR(AG70/AF70),"",AG70/AF70)</f>
        <v>0</v>
      </c>
      <c r="AI70" s="906" t="n">
        <f aca="false">IF(ISERROR($D70/12),"",$D70/12)</f>
        <v>2860.58333333333</v>
      </c>
      <c r="AJ70" s="907"/>
      <c r="AK70" s="913" t="n">
        <f aca="false">IF(ISERROR(AJ70/AI70),"",AJ70/AI70)</f>
        <v>0</v>
      </c>
      <c r="AL70" s="915" t="n">
        <f aca="false">SUM(AC70,AF70,AI70)</f>
        <v>8581.75</v>
      </c>
      <c r="AM70" s="920" t="n">
        <f aca="false">SUM(AD70,AG70,AJ70)</f>
        <v>0</v>
      </c>
      <c r="AN70" s="911" t="n">
        <f aca="false">IF(ISERROR(AM70/AL70),"",AM70/AL70)</f>
        <v>0</v>
      </c>
      <c r="AO70" s="903" t="n">
        <f aca="false">IF(ISERROR($D70/12),"",$D70/12)</f>
        <v>2860.58333333333</v>
      </c>
      <c r="AP70" s="907"/>
      <c r="AQ70" s="912" t="n">
        <f aca="false">IF(ISERROR(AP70/AO70),"",AP70/AO70)</f>
        <v>0</v>
      </c>
      <c r="AR70" s="906" t="n">
        <f aca="false">IF(ISERROR($D70/12),"",$D70/12)</f>
        <v>2860.58333333333</v>
      </c>
      <c r="AS70" s="907"/>
      <c r="AT70" s="912" t="n">
        <f aca="false">IF(ISERROR(AS70/AR70),"",AS70/AR70)</f>
        <v>0</v>
      </c>
      <c r="AU70" s="906" t="n">
        <f aca="false">IF(ISERROR($D70/12),"",$D70/12)</f>
        <v>2860.58333333333</v>
      </c>
      <c r="AV70" s="907"/>
      <c r="AW70" s="913" t="n">
        <f aca="false">IF(ISERROR(AV70/AU70),"",AV70/AU70)</f>
        <v>0</v>
      </c>
      <c r="AX70" s="909" t="n">
        <f aca="false">SUM(AO70,AR70,AU70)</f>
        <v>8581.75</v>
      </c>
      <c r="AY70" s="920" t="n">
        <f aca="false">SUM(AP70,AS70,AV70)</f>
        <v>0</v>
      </c>
      <c r="AZ70" s="911" t="n">
        <f aca="false">IF(ISERROR(AY70/AX70),"",AY70/AX70)</f>
        <v>0</v>
      </c>
      <c r="BA70" s="916" t="n">
        <f aca="false">D70</f>
        <v>34327</v>
      </c>
      <c r="BB70" s="917" t="n">
        <f aca="false">SUM(F70,I70,L70,R70,U70,X70,AD70,AG70,AJ70,AP70,AS70,AV70)</f>
        <v>35959</v>
      </c>
      <c r="BC70" s="918" t="n">
        <f aca="false">IF(ISERROR(BB70/BA70),"",BB70/BA70)</f>
        <v>1.04754275060448</v>
      </c>
      <c r="BD70" s="919"/>
      <c r="BE70" s="919"/>
      <c r="BF70" s="919"/>
    </row>
    <row collapsed="false" customFormat="false" customHeight="true" hidden="false" ht="12.75" outlineLevel="0" r="71">
      <c r="A71" s="922"/>
      <c r="B71" s="925" t="s">
        <v>830</v>
      </c>
      <c r="C71" s="946" t="s">
        <v>440</v>
      </c>
      <c r="D71" s="947" t="s">
        <v>831</v>
      </c>
      <c r="E71" s="948" t="s">
        <v>801</v>
      </c>
      <c r="F71" s="948"/>
      <c r="G71" s="948"/>
      <c r="H71" s="949" t="s">
        <v>802</v>
      </c>
      <c r="I71" s="949"/>
      <c r="J71" s="949"/>
      <c r="K71" s="950" t="s">
        <v>803</v>
      </c>
      <c r="L71" s="950"/>
      <c r="M71" s="950"/>
      <c r="N71" s="951" t="s">
        <v>804</v>
      </c>
      <c r="O71" s="951"/>
      <c r="P71" s="951"/>
      <c r="Q71" s="948" t="s">
        <v>805</v>
      </c>
      <c r="R71" s="948"/>
      <c r="S71" s="948"/>
      <c r="T71" s="949" t="s">
        <v>806</v>
      </c>
      <c r="U71" s="949"/>
      <c r="V71" s="949"/>
      <c r="W71" s="950" t="s">
        <v>807</v>
      </c>
      <c r="X71" s="950"/>
      <c r="Y71" s="950"/>
      <c r="Z71" s="951" t="s">
        <v>808</v>
      </c>
      <c r="AA71" s="951"/>
      <c r="AB71" s="951"/>
      <c r="AC71" s="948" t="s">
        <v>809</v>
      </c>
      <c r="AD71" s="948"/>
      <c r="AE71" s="948"/>
      <c r="AF71" s="949" t="s">
        <v>810</v>
      </c>
      <c r="AG71" s="949"/>
      <c r="AH71" s="949"/>
      <c r="AI71" s="950" t="s">
        <v>811</v>
      </c>
      <c r="AJ71" s="950"/>
      <c r="AK71" s="950"/>
      <c r="AL71" s="951" t="s">
        <v>812</v>
      </c>
      <c r="AM71" s="951"/>
      <c r="AN71" s="951"/>
      <c r="AO71" s="948" t="s">
        <v>813</v>
      </c>
      <c r="AP71" s="948"/>
      <c r="AQ71" s="948"/>
      <c r="AR71" s="949" t="s">
        <v>814</v>
      </c>
      <c r="AS71" s="949"/>
      <c r="AT71" s="949"/>
      <c r="AU71" s="950" t="s">
        <v>815</v>
      </c>
      <c r="AV71" s="950"/>
      <c r="AW71" s="950"/>
      <c r="AX71" s="951" t="s">
        <v>816</v>
      </c>
      <c r="AY71" s="951"/>
      <c r="AZ71" s="951"/>
      <c r="BA71" s="952" t="s">
        <v>817</v>
      </c>
      <c r="BB71" s="952"/>
      <c r="BC71" s="952"/>
      <c r="BD71" s="919"/>
      <c r="BE71" s="919"/>
      <c r="BF71" s="919"/>
    </row>
    <row collapsed="false" customFormat="false" customHeight="false" hidden="false" ht="23.85" outlineLevel="0" r="72">
      <c r="A72" s="922"/>
      <c r="B72" s="953" t="str">
        <f aca="false">20_Prog_Gestion_Scios!B4</f>
        <v>Tiempo promedio de espera para consulta de medicina especializada</v>
      </c>
      <c r="C72" s="946"/>
      <c r="D72" s="947"/>
      <c r="E72" s="948" t="s">
        <v>818</v>
      </c>
      <c r="F72" s="949" t="s">
        <v>819</v>
      </c>
      <c r="G72" s="949" t="s">
        <v>820</v>
      </c>
      <c r="H72" s="949" t="s">
        <v>818</v>
      </c>
      <c r="I72" s="949" t="s">
        <v>819</v>
      </c>
      <c r="J72" s="949" t="s">
        <v>820</v>
      </c>
      <c r="K72" s="949" t="s">
        <v>818</v>
      </c>
      <c r="L72" s="949" t="s">
        <v>819</v>
      </c>
      <c r="M72" s="950" t="s">
        <v>820</v>
      </c>
      <c r="N72" s="954" t="s">
        <v>818</v>
      </c>
      <c r="O72" s="949" t="s">
        <v>819</v>
      </c>
      <c r="P72" s="955" t="s">
        <v>820</v>
      </c>
      <c r="Q72" s="948" t="s">
        <v>818</v>
      </c>
      <c r="R72" s="949" t="s">
        <v>819</v>
      </c>
      <c r="S72" s="949" t="s">
        <v>820</v>
      </c>
      <c r="T72" s="949" t="s">
        <v>818</v>
      </c>
      <c r="U72" s="949" t="s">
        <v>819</v>
      </c>
      <c r="V72" s="949" t="s">
        <v>820</v>
      </c>
      <c r="W72" s="949" t="s">
        <v>818</v>
      </c>
      <c r="X72" s="949" t="s">
        <v>819</v>
      </c>
      <c r="Y72" s="950" t="s">
        <v>820</v>
      </c>
      <c r="Z72" s="954" t="s">
        <v>818</v>
      </c>
      <c r="AA72" s="949" t="s">
        <v>819</v>
      </c>
      <c r="AB72" s="955" t="s">
        <v>820</v>
      </c>
      <c r="AC72" s="948" t="s">
        <v>818</v>
      </c>
      <c r="AD72" s="949" t="s">
        <v>819</v>
      </c>
      <c r="AE72" s="949" t="s">
        <v>820</v>
      </c>
      <c r="AF72" s="949" t="s">
        <v>818</v>
      </c>
      <c r="AG72" s="949" t="s">
        <v>819</v>
      </c>
      <c r="AH72" s="949" t="s">
        <v>820</v>
      </c>
      <c r="AI72" s="949" t="s">
        <v>818</v>
      </c>
      <c r="AJ72" s="949" t="s">
        <v>819</v>
      </c>
      <c r="AK72" s="950" t="s">
        <v>820</v>
      </c>
      <c r="AL72" s="954" t="s">
        <v>818</v>
      </c>
      <c r="AM72" s="949" t="s">
        <v>819</v>
      </c>
      <c r="AN72" s="955" t="s">
        <v>820</v>
      </c>
      <c r="AO72" s="948" t="s">
        <v>818</v>
      </c>
      <c r="AP72" s="949" t="s">
        <v>819</v>
      </c>
      <c r="AQ72" s="949" t="s">
        <v>820</v>
      </c>
      <c r="AR72" s="949" t="s">
        <v>818</v>
      </c>
      <c r="AS72" s="949" t="s">
        <v>819</v>
      </c>
      <c r="AT72" s="949" t="s">
        <v>820</v>
      </c>
      <c r="AU72" s="949" t="s">
        <v>818</v>
      </c>
      <c r="AV72" s="949" t="s">
        <v>819</v>
      </c>
      <c r="AW72" s="950" t="s">
        <v>820</v>
      </c>
      <c r="AX72" s="954" t="s">
        <v>818</v>
      </c>
      <c r="AY72" s="949" t="s">
        <v>819</v>
      </c>
      <c r="AZ72" s="955" t="s">
        <v>820</v>
      </c>
      <c r="BA72" s="948" t="s">
        <v>818</v>
      </c>
      <c r="BB72" s="949" t="s">
        <v>819</v>
      </c>
      <c r="BC72" s="956" t="s">
        <v>820</v>
      </c>
      <c r="BD72" s="919"/>
      <c r="BE72" s="919"/>
      <c r="BF72" s="919"/>
    </row>
    <row collapsed="false" customFormat="false" customHeight="false" hidden="false" ht="12.8" outlineLevel="0" r="73">
      <c r="A73" s="922"/>
      <c r="B73" s="957" t="str">
        <f aca="false">20_Prog_Gestion_Scios!B5</f>
        <v>Pediatria General</v>
      </c>
      <c r="C73" s="923" t="s">
        <v>832</v>
      </c>
      <c r="D73" s="958" t="n">
        <f aca="false">20_Prog_Gestion_Scios!D5</f>
        <v>0</v>
      </c>
      <c r="E73" s="959" t="n">
        <f aca="false">D73</f>
        <v>0</v>
      </c>
      <c r="F73" s="960" t="n">
        <v>0</v>
      </c>
      <c r="G73" s="961" t="str">
        <f aca="false">IF(ISERROR(E73/F73),"",E73/F73)</f>
        <v/>
      </c>
      <c r="H73" s="962" t="n">
        <f aca="false">$D73</f>
        <v>0</v>
      </c>
      <c r="I73" s="960" t="n">
        <v>0</v>
      </c>
      <c r="J73" s="961" t="str">
        <f aca="false">IF(ISERROR(H73/I73),"",H73/I73)</f>
        <v/>
      </c>
      <c r="K73" s="962" t="n">
        <f aca="false">$D73</f>
        <v>0</v>
      </c>
      <c r="L73" s="960" t="n">
        <v>0</v>
      </c>
      <c r="M73" s="963" t="str">
        <f aca="false">IF(ISERROR(K73/L73),"",K73/L73)</f>
        <v/>
      </c>
      <c r="N73" s="964" t="n">
        <f aca="false">$D73</f>
        <v>0</v>
      </c>
      <c r="O73" s="965" t="n">
        <f aca="false">IF(ISERROR(AVERAGE(F73,I73,L73)),"",AVERAGE(F73,I73,L73))</f>
        <v>0</v>
      </c>
      <c r="P73" s="966" t="str">
        <f aca="false">IF(ISERROR(N73/O73),"",N73/O73)</f>
        <v/>
      </c>
      <c r="Q73" s="959" t="str">
        <f aca="false">P73</f>
        <v/>
      </c>
      <c r="R73" s="960"/>
      <c r="S73" s="961" t="str">
        <f aca="false">IF(ISERROR(Q73/R73),"",Q73/R73)</f>
        <v/>
      </c>
      <c r="T73" s="962" t="n">
        <f aca="false">$D73</f>
        <v>0</v>
      </c>
      <c r="U73" s="960"/>
      <c r="V73" s="961" t="str">
        <f aca="false">IF(ISERROR(T73/U73),"",T73/U73)</f>
        <v/>
      </c>
      <c r="W73" s="962" t="n">
        <f aca="false">$D73</f>
        <v>0</v>
      </c>
      <c r="X73" s="960"/>
      <c r="Y73" s="963" t="str">
        <f aca="false">IF(ISERROR(W73/X73),"",W73/X73)</f>
        <v/>
      </c>
      <c r="Z73" s="964" t="n">
        <f aca="false">$D73</f>
        <v>0</v>
      </c>
      <c r="AA73" s="965" t="str">
        <f aca="false">IF(ISERROR(AVERAGE(R73,U73,X73)),"",AVERAGE(R73,U73,X73))</f>
        <v/>
      </c>
      <c r="AB73" s="966" t="str">
        <f aca="false">IF(ISERROR(Z73/AA73),"",Z73/AA73)</f>
        <v/>
      </c>
      <c r="AC73" s="959" t="str">
        <f aca="false">AB73</f>
        <v/>
      </c>
      <c r="AD73" s="960"/>
      <c r="AE73" s="961" t="str">
        <f aca="false">IF(ISERROR(AC73/AD73),"",AC73/AD73)</f>
        <v/>
      </c>
      <c r="AF73" s="962" t="n">
        <f aca="false">$D73</f>
        <v>0</v>
      </c>
      <c r="AG73" s="960"/>
      <c r="AH73" s="961" t="str">
        <f aca="false">IF(ISERROR(AF73/AG73),"",AF73/AG73)</f>
        <v/>
      </c>
      <c r="AI73" s="962" t="n">
        <f aca="false">$D73</f>
        <v>0</v>
      </c>
      <c r="AJ73" s="960"/>
      <c r="AK73" s="963" t="str">
        <f aca="false">IF(ISERROR(AI73/AJ73),"",AI73/AJ73)</f>
        <v/>
      </c>
      <c r="AL73" s="964" t="n">
        <f aca="false">$D73</f>
        <v>0</v>
      </c>
      <c r="AM73" s="965" t="str">
        <f aca="false">IF(ISERROR(AVERAGE(AD73,AG73,AJ73)),"",AVERAGE(AD73,AG73,AJ73))</f>
        <v/>
      </c>
      <c r="AN73" s="966" t="str">
        <f aca="false">IF(ISERROR(AL73/AM73),"",AL73/AM73)</f>
        <v/>
      </c>
      <c r="AO73" s="959" t="str">
        <f aca="false">AN73</f>
        <v/>
      </c>
      <c r="AP73" s="960"/>
      <c r="AQ73" s="961" t="str">
        <f aca="false">IF(ISERROR(AO73/AP73),"",AO73/AP73)</f>
        <v/>
      </c>
      <c r="AR73" s="962" t="n">
        <f aca="false">$D73</f>
        <v>0</v>
      </c>
      <c r="AS73" s="960"/>
      <c r="AT73" s="961" t="str">
        <f aca="false">IF(ISERROR(AR73/AS73),"",AR73/AS73)</f>
        <v/>
      </c>
      <c r="AU73" s="962" t="n">
        <f aca="false">$D73</f>
        <v>0</v>
      </c>
      <c r="AV73" s="960"/>
      <c r="AW73" s="963" t="str">
        <f aca="false">IF(ISERROR(AU73/AV73),"",AU73/AV73)</f>
        <v/>
      </c>
      <c r="AX73" s="964" t="n">
        <f aca="false">$D73</f>
        <v>0</v>
      </c>
      <c r="AY73" s="965" t="str">
        <f aca="false">IF(ISERROR(AVERAGE(AP73,AS73,AV73)),"",AVERAGE(AP73,AS73,AV73))</f>
        <v/>
      </c>
      <c r="AZ73" s="966" t="str">
        <f aca="false">IF(ISERROR(AX73/AY73),"",AX73/AY73)</f>
        <v/>
      </c>
      <c r="BA73" s="967" t="n">
        <f aca="false">$D73</f>
        <v>0</v>
      </c>
      <c r="BB73" s="968" t="n">
        <f aca="false">IF(ISERROR(AVERAGE(F73,I73,L73,R73,U73,X73,AD73,AG73,AJ73,AP73,AS73,AV73)),"",AVERAGE(F73,I73,L73,R73,U73,X73,AD73,AG73,AJ73,AP73,AS73,AV73))</f>
        <v>0</v>
      </c>
      <c r="BC73" s="969" t="str">
        <f aca="false">IF(ISERROR(BA73/BB73),"",BA73/BB73)</f>
        <v/>
      </c>
      <c r="BD73" s="919"/>
      <c r="BE73" s="919"/>
      <c r="BF73" s="919"/>
    </row>
    <row collapsed="false" customFormat="false" customHeight="false" hidden="false" ht="12.8" outlineLevel="0" r="74">
      <c r="A74" s="922"/>
      <c r="B74" s="957" t="str">
        <f aca="false">20_Prog_Gestion_Scios!B6</f>
        <v>Cirugia Pediátrica General</v>
      </c>
      <c r="C74" s="923" t="s">
        <v>832</v>
      </c>
      <c r="D74" s="958" t="n">
        <f aca="false">20_Prog_Gestion_Scios!D6</f>
        <v>48</v>
      </c>
      <c r="E74" s="959" t="n">
        <f aca="false">D74</f>
        <v>48</v>
      </c>
      <c r="F74" s="960" t="n">
        <v>30</v>
      </c>
      <c r="G74" s="961" t="n">
        <f aca="false">IF(ISERROR(E74/F74),"",E74/F74)</f>
        <v>1.6</v>
      </c>
      <c r="H74" s="962" t="n">
        <f aca="false">$D74</f>
        <v>48</v>
      </c>
      <c r="I74" s="960" t="n">
        <v>30</v>
      </c>
      <c r="J74" s="961" t="n">
        <f aca="false">IF(ISERROR(H74/I74),"",H74/I74)</f>
        <v>1.6</v>
      </c>
      <c r="K74" s="962" t="n">
        <f aca="false">$D74</f>
        <v>48</v>
      </c>
      <c r="L74" s="960" t="n">
        <v>30</v>
      </c>
      <c r="M74" s="963" t="n">
        <f aca="false">IF(ISERROR(K74/L74),"",K74/L74)</f>
        <v>1.6</v>
      </c>
      <c r="N74" s="964" t="n">
        <f aca="false">$D74</f>
        <v>48</v>
      </c>
      <c r="O74" s="965" t="n">
        <f aca="false">IF(ISERROR(AVERAGE(F74,I74,L74)),"",AVERAGE(F74,I74,L74))</f>
        <v>30</v>
      </c>
      <c r="P74" s="966" t="n">
        <f aca="false">IF(ISERROR(N74/O74),"",N74/O74)</f>
        <v>1.6</v>
      </c>
      <c r="Q74" s="970" t="inlineStr">
        <f aca="false">P74</f>
        <is>
          <t/>
        </is>
      </c>
      <c r="R74" s="960" t="n">
        <v>30</v>
      </c>
      <c r="S74" s="961" t="n">
        <f aca="false">IF(ISERROR(Q74/R74),"",Q74/R74)</f>
        <v>0.0533333333333333</v>
      </c>
      <c r="T74" s="962" t="n">
        <f aca="false">$D74</f>
        <v>48</v>
      </c>
      <c r="U74" s="960"/>
      <c r="V74" s="961" t="str">
        <f aca="false">IF(ISERROR(T74/U74),"",T74/U74)</f>
        <v/>
      </c>
      <c r="W74" s="962" t="n">
        <f aca="false">$D74</f>
        <v>48</v>
      </c>
      <c r="X74" s="960"/>
      <c r="Y74" s="963" t="str">
        <f aca="false">IF(ISERROR(W74/X74),"",W74/X74)</f>
        <v/>
      </c>
      <c r="Z74" s="964" t="n">
        <f aca="false">$D74</f>
        <v>48</v>
      </c>
      <c r="AA74" s="965" t="n">
        <f aca="false">IF(ISERROR(AVERAGE(R74,U74,X74)),"",AVERAGE(R74,U74,X74))</f>
        <v>30</v>
      </c>
      <c r="AB74" s="966" t="n">
        <f aca="false">IF(ISERROR(Z74/AA74),"",Z74/AA74)</f>
        <v>1.6</v>
      </c>
      <c r="AC74" s="970" t="inlineStr">
        <f aca="false">AB74</f>
        <is>
          <t/>
        </is>
      </c>
      <c r="AD74" s="960"/>
      <c r="AE74" s="961" t="str">
        <f aca="false">IF(ISERROR(AC74/AD74),"",AC74/AD74)</f>
        <v/>
      </c>
      <c r="AF74" s="962" t="n">
        <f aca="false">$D74</f>
        <v>48</v>
      </c>
      <c r="AG74" s="960"/>
      <c r="AH74" s="961" t="str">
        <f aca="false">IF(ISERROR(AF74/AG74),"",AF74/AG74)</f>
        <v/>
      </c>
      <c r="AI74" s="962" t="n">
        <f aca="false">$D74</f>
        <v>48</v>
      </c>
      <c r="AJ74" s="960"/>
      <c r="AK74" s="963" t="str">
        <f aca="false">IF(ISERROR(AI74/AJ74),"",AI74/AJ74)</f>
        <v/>
      </c>
      <c r="AL74" s="964" t="n">
        <f aca="false">$D74</f>
        <v>48</v>
      </c>
      <c r="AM74" s="965" t="str">
        <f aca="false">IF(ISERROR(AVERAGE(AD74,AG74,AJ74)),"",AVERAGE(AD74,AG74,AJ74))</f>
        <v/>
      </c>
      <c r="AN74" s="966" t="str">
        <f aca="false">IF(ISERROR(AL74/AM74),"",AL74/AM74)</f>
        <v/>
      </c>
      <c r="AO74" s="959" t="str">
        <f aca="false">AN74</f>
        <v/>
      </c>
      <c r="AP74" s="960"/>
      <c r="AQ74" s="961" t="str">
        <f aca="false">IF(ISERROR(AO74/AP74),"",AO74/AP74)</f>
        <v/>
      </c>
      <c r="AR74" s="962" t="n">
        <f aca="false">$D74</f>
        <v>48</v>
      </c>
      <c r="AS74" s="960"/>
      <c r="AT74" s="961" t="str">
        <f aca="false">IF(ISERROR(AR74/AS74),"",AR74/AS74)</f>
        <v/>
      </c>
      <c r="AU74" s="962" t="n">
        <f aca="false">$D74</f>
        <v>48</v>
      </c>
      <c r="AV74" s="960"/>
      <c r="AW74" s="963" t="str">
        <f aca="false">IF(ISERROR(AU74/AV74),"",AU74/AV74)</f>
        <v/>
      </c>
      <c r="AX74" s="964" t="n">
        <f aca="false">$D74</f>
        <v>48</v>
      </c>
      <c r="AY74" s="965" t="str">
        <f aca="false">IF(ISERROR(AVERAGE(AP74,AS74,AV74)),"",AVERAGE(AP74,AS74,AV74))</f>
        <v/>
      </c>
      <c r="AZ74" s="966" t="str">
        <f aca="false">IF(ISERROR(AX74/AY74),"",AX74/AY74)</f>
        <v/>
      </c>
      <c r="BA74" s="967" t="n">
        <f aca="false">$D74</f>
        <v>48</v>
      </c>
      <c r="BB74" s="968" t="n">
        <f aca="false">IF(ISERROR(AVERAGE(F74,I74,L74,R74,U74,X74,AD74,AG74,AJ74,AP74,AS74,AV74)),"",AVERAGE(F74,I74,L74,R74,U74,X74,AD74,AG74,AJ74,AP74,AS74,AV74))</f>
        <v>30</v>
      </c>
      <c r="BC74" s="969" t="n">
        <f aca="false">IF(ISERROR(BA74/BB74),"",BA74/BB74)</f>
        <v>1.6</v>
      </c>
      <c r="BD74" s="919"/>
      <c r="BE74" s="919"/>
      <c r="BF74" s="919"/>
    </row>
    <row collapsed="false" customFormat="false" customHeight="false" hidden="false" ht="12.8" outlineLevel="0" r="75">
      <c r="A75" s="922"/>
      <c r="B75" s="957" t="str">
        <f aca="false">20_Prog_Gestion_Scios!B7</f>
        <v>Neonatología</v>
      </c>
      <c r="C75" s="923" t="s">
        <v>832</v>
      </c>
      <c r="D75" s="958" t="n">
        <f aca="false">20_Prog_Gestion_Scios!D7</f>
        <v>0</v>
      </c>
      <c r="E75" s="959" t="n">
        <f aca="false">D75</f>
        <v>0</v>
      </c>
      <c r="F75" s="960" t="n">
        <v>0</v>
      </c>
      <c r="G75" s="961" t="str">
        <f aca="false">IF(ISERROR(E75/F75),"",E75/F75)</f>
        <v/>
      </c>
      <c r="H75" s="962" t="n">
        <f aca="false">$D75</f>
        <v>0</v>
      </c>
      <c r="I75" s="960" t="n">
        <v>0</v>
      </c>
      <c r="J75" s="961" t="str">
        <f aca="false">IF(ISERROR(H75/I75),"",H75/I75)</f>
        <v/>
      </c>
      <c r="K75" s="962" t="n">
        <f aca="false">$D75</f>
        <v>0</v>
      </c>
      <c r="L75" s="960" t="n">
        <v>0</v>
      </c>
      <c r="M75" s="963" t="str">
        <f aca="false">IF(ISERROR(K75/L75),"",K75/L75)</f>
        <v/>
      </c>
      <c r="N75" s="964" t="n">
        <f aca="false">$D75</f>
        <v>0</v>
      </c>
      <c r="O75" s="965" t="n">
        <f aca="false">IF(ISERROR(AVERAGE(F75,I75,L75)),"",AVERAGE(F75,I75,L75))</f>
        <v>0</v>
      </c>
      <c r="P75" s="966" t="str">
        <f aca="false">IF(ISERROR(N75/O75),"",N75/O75)</f>
        <v/>
      </c>
      <c r="Q75" s="959" t="str">
        <f aca="false">P75</f>
        <v/>
      </c>
      <c r="R75" s="960" t="n">
        <v>0</v>
      </c>
      <c r="S75" s="961" t="str">
        <f aca="false">IF(ISERROR(Q75/R75),"",Q75/R75)</f>
        <v/>
      </c>
      <c r="T75" s="962" t="n">
        <f aca="false">$D75</f>
        <v>0</v>
      </c>
      <c r="U75" s="960"/>
      <c r="V75" s="961" t="str">
        <f aca="false">IF(ISERROR(T75/U75),"",T75/U75)</f>
        <v/>
      </c>
      <c r="W75" s="962" t="n">
        <f aca="false">$D75</f>
        <v>0</v>
      </c>
      <c r="X75" s="960"/>
      <c r="Y75" s="963" t="str">
        <f aca="false">IF(ISERROR(W75/X75),"",W75/X75)</f>
        <v/>
      </c>
      <c r="Z75" s="964" t="n">
        <f aca="false">$D75</f>
        <v>0</v>
      </c>
      <c r="AA75" s="965" t="n">
        <f aca="false">IF(ISERROR(AVERAGE(R75,U75,X75)),"",AVERAGE(R75,U75,X75))</f>
        <v>0</v>
      </c>
      <c r="AB75" s="966" t="str">
        <f aca="false">IF(ISERROR(Z75/AA75),"",Z75/AA75)</f>
        <v/>
      </c>
      <c r="AC75" s="959" t="str">
        <f aca="false">AB75</f>
        <v/>
      </c>
      <c r="AD75" s="960"/>
      <c r="AE75" s="961" t="str">
        <f aca="false">IF(ISERROR(AC75/AD75),"",AC75/AD75)</f>
        <v/>
      </c>
      <c r="AF75" s="962" t="n">
        <f aca="false">$D75</f>
        <v>0</v>
      </c>
      <c r="AG75" s="960"/>
      <c r="AH75" s="961" t="str">
        <f aca="false">IF(ISERROR(AF75/AG75),"",AF75/AG75)</f>
        <v/>
      </c>
      <c r="AI75" s="962" t="n">
        <f aca="false">$D75</f>
        <v>0</v>
      </c>
      <c r="AJ75" s="960"/>
      <c r="AK75" s="963" t="str">
        <f aca="false">IF(ISERROR(AI75/AJ75),"",AI75/AJ75)</f>
        <v/>
      </c>
      <c r="AL75" s="964" t="n">
        <f aca="false">$D75</f>
        <v>0</v>
      </c>
      <c r="AM75" s="965" t="str">
        <f aca="false">IF(ISERROR(AVERAGE(AD75,AG75,AJ75)),"",AVERAGE(AD75,AG75,AJ75))</f>
        <v/>
      </c>
      <c r="AN75" s="966" t="str">
        <f aca="false">IF(ISERROR(AL75/AM75),"",AL75/AM75)</f>
        <v/>
      </c>
      <c r="AO75" s="959" t="str">
        <f aca="false">AN75</f>
        <v/>
      </c>
      <c r="AP75" s="960"/>
      <c r="AQ75" s="961" t="str">
        <f aca="false">IF(ISERROR(AO75/AP75),"",AO75/AP75)</f>
        <v/>
      </c>
      <c r="AR75" s="962" t="n">
        <f aca="false">$D75</f>
        <v>0</v>
      </c>
      <c r="AS75" s="960"/>
      <c r="AT75" s="961" t="str">
        <f aca="false">IF(ISERROR(AR75/AS75),"",AR75/AS75)</f>
        <v/>
      </c>
      <c r="AU75" s="962" t="n">
        <f aca="false">$D75</f>
        <v>0</v>
      </c>
      <c r="AV75" s="960"/>
      <c r="AW75" s="963" t="str">
        <f aca="false">IF(ISERROR(AU75/AV75),"",AU75/AV75)</f>
        <v/>
      </c>
      <c r="AX75" s="964" t="n">
        <f aca="false">$D75</f>
        <v>0</v>
      </c>
      <c r="AY75" s="965" t="str">
        <f aca="false">IF(ISERROR(AVERAGE(AP75,AS75,AV75)),"",AVERAGE(AP75,AS75,AV75))</f>
        <v/>
      </c>
      <c r="AZ75" s="966" t="str">
        <f aca="false">IF(ISERROR(AX75/AY75),"",AX75/AY75)</f>
        <v/>
      </c>
      <c r="BA75" s="967" t="n">
        <f aca="false">$D75</f>
        <v>0</v>
      </c>
      <c r="BB75" s="968" t="n">
        <f aca="false">IF(ISERROR(AVERAGE(F75,I75,L75,R75,U75,X75,AD75,AG75,AJ75,AP75,AS75,AV75)),"",AVERAGE(F75,I75,L75,R75,U75,X75,AD75,AG75,AJ75,AP75,AS75,AV75))</f>
        <v>0</v>
      </c>
      <c r="BC75" s="969" t="str">
        <f aca="false">IF(ISERROR(BA75/BB75),"",BA75/BB75)</f>
        <v/>
      </c>
      <c r="BD75" s="919"/>
      <c r="BE75" s="919"/>
      <c r="BF75" s="919"/>
    </row>
    <row collapsed="false" customFormat="false" customHeight="false" hidden="false" ht="12.8" outlineLevel="0" r="76">
      <c r="A76" s="922"/>
      <c r="B76" s="957" t="str">
        <f aca="false">20_Prog_Gestion_Scios!B8</f>
        <v>Pediatria especializada</v>
      </c>
      <c r="C76" s="923" t="s">
        <v>832</v>
      </c>
      <c r="D76" s="958" t="n">
        <f aca="false">20_Prog_Gestion_Scios!D8</f>
        <v>60</v>
      </c>
      <c r="E76" s="959" t="n">
        <f aca="false">D76</f>
        <v>60</v>
      </c>
      <c r="F76" s="960" t="n">
        <v>60</v>
      </c>
      <c r="G76" s="961" t="n">
        <f aca="false">IF(ISERROR(E76/F76),"",E76/F76)</f>
        <v>1</v>
      </c>
      <c r="H76" s="962" t="n">
        <f aca="false">$D76</f>
        <v>60</v>
      </c>
      <c r="I76" s="960" t="n">
        <v>60</v>
      </c>
      <c r="J76" s="961" t="n">
        <f aca="false">IF(ISERROR(H76/I76),"",H76/I76)</f>
        <v>1</v>
      </c>
      <c r="K76" s="962" t="n">
        <f aca="false">$D76</f>
        <v>60</v>
      </c>
      <c r="L76" s="960" t="n">
        <v>60</v>
      </c>
      <c r="M76" s="963" t="n">
        <f aca="false">IF(ISERROR(K76/L76),"",K76/L76)</f>
        <v>1</v>
      </c>
      <c r="N76" s="964" t="n">
        <f aca="false">$D76</f>
        <v>60</v>
      </c>
      <c r="O76" s="965" t="n">
        <f aca="false">IF(ISERROR(AVERAGE(F76,I76,L76)),"",AVERAGE(F76,I76,L76))</f>
        <v>60</v>
      </c>
      <c r="P76" s="966" t="n">
        <f aca="false">IF(ISERROR(N76/O76),"",N76/O76)</f>
        <v>1</v>
      </c>
      <c r="Q76" s="970" t="inlineStr">
        <f aca="false">P76</f>
        <is>
          <t/>
        </is>
      </c>
      <c r="R76" s="960" t="n">
        <v>60</v>
      </c>
      <c r="S76" s="961" t="n">
        <f aca="false">IF(ISERROR(Q76/R76),"",Q76/R76)</f>
        <v>0.0166666666666667</v>
      </c>
      <c r="T76" s="962" t="n">
        <f aca="false">$D76</f>
        <v>60</v>
      </c>
      <c r="U76" s="960"/>
      <c r="V76" s="961" t="str">
        <f aca="false">IF(ISERROR(T76/U76),"",T76/U76)</f>
        <v/>
      </c>
      <c r="W76" s="962" t="n">
        <f aca="false">$D76</f>
        <v>60</v>
      </c>
      <c r="X76" s="960"/>
      <c r="Y76" s="963" t="str">
        <f aca="false">IF(ISERROR(W76/X76),"",W76/X76)</f>
        <v/>
      </c>
      <c r="Z76" s="964" t="n">
        <f aca="false">$D76</f>
        <v>60</v>
      </c>
      <c r="AA76" s="965" t="n">
        <f aca="false">IF(ISERROR(AVERAGE(R76,U76,X76)),"",AVERAGE(R76,U76,X76))</f>
        <v>60</v>
      </c>
      <c r="AB76" s="966" t="n">
        <f aca="false">IF(ISERROR(Z76/AA76),"",Z76/AA76)</f>
        <v>1</v>
      </c>
      <c r="AC76" s="970" t="inlineStr">
        <f aca="false">AB76</f>
        <is>
          <t/>
        </is>
      </c>
      <c r="AD76" s="960"/>
      <c r="AE76" s="961" t="str">
        <f aca="false">IF(ISERROR(AC76/AD76),"",AC76/AD76)</f>
        <v/>
      </c>
      <c r="AF76" s="962" t="n">
        <f aca="false">$D76</f>
        <v>60</v>
      </c>
      <c r="AG76" s="960"/>
      <c r="AH76" s="961" t="str">
        <f aca="false">IF(ISERROR(AF76/AG76),"",AF76/AG76)</f>
        <v/>
      </c>
      <c r="AI76" s="962" t="n">
        <f aca="false">$D76</f>
        <v>60</v>
      </c>
      <c r="AJ76" s="960"/>
      <c r="AK76" s="963" t="str">
        <f aca="false">IF(ISERROR(AI76/AJ76),"",AI76/AJ76)</f>
        <v/>
      </c>
      <c r="AL76" s="964" t="n">
        <f aca="false">$D76</f>
        <v>60</v>
      </c>
      <c r="AM76" s="965" t="str">
        <f aca="false">IF(ISERROR(AVERAGE(AD76,AG76,AJ76)),"",AVERAGE(AD76,AG76,AJ76))</f>
        <v/>
      </c>
      <c r="AN76" s="966" t="str">
        <f aca="false">IF(ISERROR(AL76/AM76),"",AL76/AM76)</f>
        <v/>
      </c>
      <c r="AO76" s="959" t="str">
        <f aca="false">AN76</f>
        <v/>
      </c>
      <c r="AP76" s="960"/>
      <c r="AQ76" s="961" t="str">
        <f aca="false">IF(ISERROR(AO76/AP76),"",AO76/AP76)</f>
        <v/>
      </c>
      <c r="AR76" s="962" t="n">
        <f aca="false">$D76</f>
        <v>60</v>
      </c>
      <c r="AS76" s="960"/>
      <c r="AT76" s="961" t="str">
        <f aca="false">IF(ISERROR(AR76/AS76),"",AR76/AS76)</f>
        <v/>
      </c>
      <c r="AU76" s="962" t="n">
        <f aca="false">$D76</f>
        <v>60</v>
      </c>
      <c r="AV76" s="960"/>
      <c r="AW76" s="963" t="str">
        <f aca="false">IF(ISERROR(AU76/AV76),"",AU76/AV76)</f>
        <v/>
      </c>
      <c r="AX76" s="964" t="n">
        <f aca="false">$D76</f>
        <v>60</v>
      </c>
      <c r="AY76" s="965" t="str">
        <f aca="false">IF(ISERROR(AVERAGE(AP76,AS76,AV76)),"",AVERAGE(AP76,AS76,AV76))</f>
        <v/>
      </c>
      <c r="AZ76" s="966" t="str">
        <f aca="false">IF(ISERROR(AX76/AY76),"",AX76/AY76)</f>
        <v/>
      </c>
      <c r="BA76" s="967" t="n">
        <f aca="false">$D76</f>
        <v>60</v>
      </c>
      <c r="BB76" s="968" t="n">
        <f aca="false">IF(ISERROR(AVERAGE(F76,I76,L76,R76,U76,X76,AD76,AG76,AJ76,AP76,AS76,AV76)),"",AVERAGE(F76,I76,L76,R76,U76,X76,AD76,AG76,AJ76,AP76,AS76,AV76))</f>
        <v>60</v>
      </c>
      <c r="BC76" s="969" t="n">
        <f aca="false">IF(ISERROR(BA76/BB76),"",BA76/BB76)</f>
        <v>1</v>
      </c>
      <c r="BD76" s="919"/>
      <c r="BE76" s="919"/>
      <c r="BF76" s="919"/>
    </row>
    <row collapsed="false" customFormat="false" customHeight="false" hidden="false" ht="12.8" outlineLevel="0" r="77">
      <c r="A77" s="922"/>
      <c r="B77" s="957" t="str">
        <f aca="false">20_Prog_Gestion_Scios!B9</f>
        <v>Cirugia Pediátrica Especilaizada</v>
      </c>
      <c r="C77" s="923" t="s">
        <v>832</v>
      </c>
      <c r="D77" s="958" t="n">
        <f aca="false">20_Prog_Gestion_Scios!D9</f>
        <v>48</v>
      </c>
      <c r="E77" s="959" t="n">
        <f aca="false">D77</f>
        <v>48</v>
      </c>
      <c r="F77" s="960" t="n">
        <v>42</v>
      </c>
      <c r="G77" s="961" t="n">
        <f aca="false">IF(ISERROR(E77/F77),"",E77/F77)</f>
        <v>1.14285714285714</v>
      </c>
      <c r="H77" s="962" t="n">
        <f aca="false">$D77</f>
        <v>48</v>
      </c>
      <c r="I77" s="960" t="n">
        <v>45</v>
      </c>
      <c r="J77" s="961" t="n">
        <f aca="false">IF(ISERROR(H77/I77),"",H77/I77)</f>
        <v>1.06666666666667</v>
      </c>
      <c r="K77" s="962" t="n">
        <f aca="false">$D77</f>
        <v>48</v>
      </c>
      <c r="L77" s="960" t="n">
        <v>45</v>
      </c>
      <c r="M77" s="963" t="n">
        <f aca="false">IF(ISERROR(K77/L77),"",K77/L77)</f>
        <v>1.06666666666667</v>
      </c>
      <c r="N77" s="964" t="n">
        <f aca="false">$D77</f>
        <v>48</v>
      </c>
      <c r="O77" s="965" t="n">
        <f aca="false">IF(ISERROR(AVERAGE(F77,I77,L77)),"",AVERAGE(F77,I77,L77))</f>
        <v>44</v>
      </c>
      <c r="P77" s="966" t="n">
        <f aca="false">IF(ISERROR(N77/O77),"",N77/O77)</f>
        <v>1.09090909090909</v>
      </c>
      <c r="Q77" s="964" t="n">
        <f aca="false">$D77</f>
        <v>48</v>
      </c>
      <c r="R77" s="960" t="n">
        <v>44</v>
      </c>
      <c r="S77" s="961" t="n">
        <f aca="false">IF(ISERROR(Q77/R77),"",Q77/R77)</f>
        <v>1.09090909090909</v>
      </c>
      <c r="T77" s="962" t="n">
        <f aca="false">$D77</f>
        <v>48</v>
      </c>
      <c r="U77" s="960"/>
      <c r="V77" s="961" t="str">
        <f aca="false">IF(ISERROR(T77/U77),"",T77/U77)</f>
        <v/>
      </c>
      <c r="W77" s="962" t="n">
        <f aca="false">$D77</f>
        <v>48</v>
      </c>
      <c r="X77" s="960"/>
      <c r="Y77" s="963" t="str">
        <f aca="false">IF(ISERROR(W77/X77),"",W77/X77)</f>
        <v/>
      </c>
      <c r="Z77" s="964" t="n">
        <f aca="false">$D77</f>
        <v>48</v>
      </c>
      <c r="AA77" s="965" t="n">
        <f aca="false">IF(ISERROR(AVERAGE(R77,U77,X77)),"",AVERAGE(R77,U77,X77))</f>
        <v>44</v>
      </c>
      <c r="AB77" s="966" t="n">
        <f aca="false">IF(ISERROR(Z77/AA77),"",Z77/AA77)</f>
        <v>1.09090909090909</v>
      </c>
      <c r="AC77" s="970" t="inlineStr">
        <f aca="false">AB77</f>
        <is>
          <t/>
        </is>
      </c>
      <c r="AD77" s="960"/>
      <c r="AE77" s="961" t="str">
        <f aca="false">IF(ISERROR(AC77/AD77),"",AC77/AD77)</f>
        <v/>
      </c>
      <c r="AF77" s="962" t="n">
        <f aca="false">$D77</f>
        <v>48</v>
      </c>
      <c r="AG77" s="960"/>
      <c r="AH77" s="961" t="str">
        <f aca="false">IF(ISERROR(AF77/AG77),"",AF77/AG77)</f>
        <v/>
      </c>
      <c r="AI77" s="962" t="n">
        <f aca="false">$D77</f>
        <v>48</v>
      </c>
      <c r="AJ77" s="960"/>
      <c r="AK77" s="963" t="str">
        <f aca="false">IF(ISERROR(AI77/AJ77),"",AI77/AJ77)</f>
        <v/>
      </c>
      <c r="AL77" s="964" t="n">
        <f aca="false">$D77</f>
        <v>48</v>
      </c>
      <c r="AM77" s="965" t="str">
        <f aca="false">IF(ISERROR(AVERAGE(AD77,AG77,AJ77)),"",AVERAGE(AD77,AG77,AJ77))</f>
        <v/>
      </c>
      <c r="AN77" s="966" t="str">
        <f aca="false">IF(ISERROR(AL77/AM77),"",AL77/AM77)</f>
        <v/>
      </c>
      <c r="AO77" s="959" t="str">
        <f aca="false">AN77</f>
        <v/>
      </c>
      <c r="AP77" s="960"/>
      <c r="AQ77" s="961" t="str">
        <f aca="false">IF(ISERROR(AO77/AP77),"",AO77/AP77)</f>
        <v/>
      </c>
      <c r="AR77" s="962" t="n">
        <f aca="false">$D77</f>
        <v>48</v>
      </c>
      <c r="AS77" s="960"/>
      <c r="AT77" s="961" t="str">
        <f aca="false">IF(ISERROR(AR77/AS77),"",AR77/AS77)</f>
        <v/>
      </c>
      <c r="AU77" s="962" t="n">
        <f aca="false">$D77</f>
        <v>48</v>
      </c>
      <c r="AV77" s="960"/>
      <c r="AW77" s="963" t="str">
        <f aca="false">IF(ISERROR(AU77/AV77),"",AU77/AV77)</f>
        <v/>
      </c>
      <c r="AX77" s="964" t="n">
        <f aca="false">$D77</f>
        <v>48</v>
      </c>
      <c r="AY77" s="965" t="str">
        <f aca="false">IF(ISERROR(AVERAGE(AP77,AS77,AV77)),"",AVERAGE(AP77,AS77,AV77))</f>
        <v/>
      </c>
      <c r="AZ77" s="966" t="str">
        <f aca="false">IF(ISERROR(AX77/AY77),"",AX77/AY77)</f>
        <v/>
      </c>
      <c r="BA77" s="967" t="n">
        <f aca="false">$D77</f>
        <v>48</v>
      </c>
      <c r="BB77" s="968" t="n">
        <f aca="false">IF(ISERROR(AVERAGE(F77,I77,L77,R77,U77,X77,AD77,AG77,AJ77,AP77,AS77,AV77)),"",AVERAGE(F77,I77,L77,R77,U77,X77,AD77,AG77,AJ77,AP77,AS77,AV77))</f>
        <v>44</v>
      </c>
      <c r="BC77" s="969" t="n">
        <f aca="false">IF(ISERROR(BA77/BB77),"",BA77/BB77)</f>
        <v>1.09090909090909</v>
      </c>
      <c r="BD77" s="919"/>
      <c r="BE77" s="919"/>
      <c r="BF77" s="919"/>
    </row>
    <row collapsed="false" customFormat="false" customHeight="false" hidden="false" ht="12.8" outlineLevel="0" r="78">
      <c r="A78" s="922"/>
      <c r="B78" s="953" t="str">
        <f aca="false">20_Prog_Gestion_Scios!B10</f>
        <v>Tiempo promedio de espera para cirugía electiva</v>
      </c>
      <c r="C78" s="923" t="s">
        <v>832</v>
      </c>
      <c r="D78" s="958" t="str">
        <f aca="false">20_Prog_Gestion_Scios!D10</f>
        <v>N/D</v>
      </c>
      <c r="E78" s="959" t="str">
        <f aca="false">$D78</f>
        <v>N/D</v>
      </c>
      <c r="F78" s="960"/>
      <c r="G78" s="961" t="str">
        <f aca="false">IF(ISERROR(E78/F78),"",E78/F78)</f>
        <v/>
      </c>
      <c r="H78" s="962" t="str">
        <f aca="false">$D78</f>
        <v>N/D</v>
      </c>
      <c r="I78" s="960"/>
      <c r="J78" s="961" t="str">
        <f aca="false">IF(ISERROR(H78/I78),"",H78/I78)</f>
        <v/>
      </c>
      <c r="K78" s="962" t="str">
        <f aca="false">$D78</f>
        <v>N/D</v>
      </c>
      <c r="L78" s="960"/>
      <c r="M78" s="963" t="str">
        <f aca="false">IF(ISERROR(K78/L78),"",K78/L78)</f>
        <v/>
      </c>
      <c r="N78" s="964" t="str">
        <f aca="false">$D78</f>
        <v>N/D</v>
      </c>
      <c r="O78" s="965" t="str">
        <f aca="false">IF(ISERROR(AVERAGE(F78,I78,L78)),"",AVERAGE(F78,I78,L78))</f>
        <v/>
      </c>
      <c r="P78" s="966" t="str">
        <f aca="false">IF(ISERROR(N78/O78),"",N78/O78)</f>
        <v/>
      </c>
      <c r="Q78" s="959" t="str">
        <f aca="false">$D78</f>
        <v>N/D</v>
      </c>
      <c r="R78" s="960"/>
      <c r="S78" s="961" t="str">
        <f aca="false">IF(ISERROR(Q78/R78),"",Q78/R78)</f>
        <v/>
      </c>
      <c r="T78" s="962" t="str">
        <f aca="false">$D78</f>
        <v>N/D</v>
      </c>
      <c r="U78" s="960"/>
      <c r="V78" s="961" t="str">
        <f aca="false">IF(ISERROR(T78/U78),"",T78/U78)</f>
        <v/>
      </c>
      <c r="W78" s="962" t="str">
        <f aca="false">$D78</f>
        <v>N/D</v>
      </c>
      <c r="X78" s="960"/>
      <c r="Y78" s="963" t="str">
        <f aca="false">IF(ISERROR(W78/X78),"",W78/X78)</f>
        <v/>
      </c>
      <c r="Z78" s="964" t="str">
        <f aca="false">$D78</f>
        <v>N/D</v>
      </c>
      <c r="AA78" s="965" t="str">
        <f aca="false">IF(ISERROR(AVERAGE(R78,U78,X78)),"",AVERAGE(R78,U78,X78))</f>
        <v/>
      </c>
      <c r="AB78" s="966" t="str">
        <f aca="false">IF(ISERROR(Z78/AA78),"",Z78/AA78)</f>
        <v/>
      </c>
      <c r="AC78" s="959" t="str">
        <f aca="false">$D78</f>
        <v>N/D</v>
      </c>
      <c r="AD78" s="960"/>
      <c r="AE78" s="961" t="str">
        <f aca="false">IF(ISERROR(AC78/AD78),"",AC78/AD78)</f>
        <v/>
      </c>
      <c r="AF78" s="962" t="str">
        <f aca="false">$D78</f>
        <v>N/D</v>
      </c>
      <c r="AG78" s="960"/>
      <c r="AH78" s="961" t="str">
        <f aca="false">IF(ISERROR(AF78/AG78),"",AF78/AG78)</f>
        <v/>
      </c>
      <c r="AI78" s="962" t="str">
        <f aca="false">$D78</f>
        <v>N/D</v>
      </c>
      <c r="AJ78" s="960"/>
      <c r="AK78" s="963" t="str">
        <f aca="false">IF(ISERROR(AI78/AJ78),"",AI78/AJ78)</f>
        <v/>
      </c>
      <c r="AL78" s="964" t="str">
        <f aca="false">$D78</f>
        <v>N/D</v>
      </c>
      <c r="AM78" s="965" t="str">
        <f aca="false">IF(ISERROR(AVERAGE(AD78,AG78,AJ78)),"",AVERAGE(AD78,AG78,AJ78))</f>
        <v/>
      </c>
      <c r="AN78" s="966" t="str">
        <f aca="false">IF(ISERROR(AL78/AM78),"",AL78/AM78)</f>
        <v/>
      </c>
      <c r="AO78" s="959" t="str">
        <f aca="false">$D78</f>
        <v>N/D</v>
      </c>
      <c r="AP78" s="960"/>
      <c r="AQ78" s="961" t="str">
        <f aca="false">IF(ISERROR(AO78/AP78),"",AO78/AP78)</f>
        <v/>
      </c>
      <c r="AR78" s="962" t="str">
        <f aca="false">$D78</f>
        <v>N/D</v>
      </c>
      <c r="AS78" s="960"/>
      <c r="AT78" s="961" t="str">
        <f aca="false">IF(ISERROR(AR78/AS78),"",AR78/AS78)</f>
        <v/>
      </c>
      <c r="AU78" s="962" t="str">
        <f aca="false">$D78</f>
        <v>N/D</v>
      </c>
      <c r="AV78" s="960"/>
      <c r="AW78" s="963" t="str">
        <f aca="false">IF(ISERROR(AU78/AV78),"",AU78/AV78)</f>
        <v/>
      </c>
      <c r="AX78" s="964" t="str">
        <f aca="false">$D78</f>
        <v>N/D</v>
      </c>
      <c r="AY78" s="965" t="str">
        <f aca="false">IF(ISERROR(AVERAGE(AP78,AS78,AV78)),"",AVERAGE(AP78,AS78,AV78))</f>
        <v/>
      </c>
      <c r="AZ78" s="966" t="str">
        <f aca="false">IF(ISERROR(AX78/AY78),"",AX78/AY78)</f>
        <v/>
      </c>
      <c r="BA78" s="967" t="str">
        <f aca="false">$D78</f>
        <v>N/D</v>
      </c>
      <c r="BB78" s="968" t="str">
        <f aca="false">IF(ISERROR(AVERAGE(F78,I78,L78,R78,U78,X78,AD78,AG78,AJ78,AP78,AS78,AV78)),"",AVERAGE(F78,I78,L78,R78,U78,X78,AD78,AG78,AJ78,AP78,AS78,AV78))</f>
        <v/>
      </c>
      <c r="BC78" s="969" t="str">
        <f aca="false">IF(ISERROR(BA78/BB78),"",BA78/BB78)</f>
        <v/>
      </c>
      <c r="BD78" s="919"/>
      <c r="BE78" s="919"/>
      <c r="BF78" s="919"/>
    </row>
    <row collapsed="false" customFormat="false" customHeight="false" hidden="false" ht="12.8" outlineLevel="0" r="79">
      <c r="A79" s="922"/>
      <c r="B79" s="971" t="s">
        <v>833</v>
      </c>
      <c r="C79" s="923" t="s">
        <v>823</v>
      </c>
      <c r="D79" s="972"/>
      <c r="E79" s="973"/>
      <c r="F79" s="960" t="n">
        <v>84</v>
      </c>
      <c r="G79" s="974"/>
      <c r="H79" s="975"/>
      <c r="I79" s="960" t="n">
        <v>108</v>
      </c>
      <c r="J79" s="974"/>
      <c r="K79" s="975"/>
      <c r="L79" s="960" t="n">
        <v>98</v>
      </c>
      <c r="M79" s="976"/>
      <c r="N79" s="977"/>
      <c r="O79" s="965" t="n">
        <f aca="false">SUM(F79,I79,L79)</f>
        <v>290</v>
      </c>
      <c r="P79" s="978"/>
      <c r="Q79" s="973"/>
      <c r="R79" s="960" t="n">
        <v>70</v>
      </c>
      <c r="S79" s="974"/>
      <c r="T79" s="975"/>
      <c r="U79" s="960" t="n">
        <v>92</v>
      </c>
      <c r="V79" s="974"/>
      <c r="W79" s="975"/>
      <c r="X79" s="960"/>
      <c r="Y79" s="976"/>
      <c r="Z79" s="977"/>
      <c r="AA79" s="965" t="n">
        <f aca="false">SUM(R79,U79,X79)</f>
        <v>162</v>
      </c>
      <c r="AB79" s="978"/>
      <c r="AC79" s="973"/>
      <c r="AD79" s="960"/>
      <c r="AE79" s="974"/>
      <c r="AF79" s="975"/>
      <c r="AG79" s="960"/>
      <c r="AH79" s="974"/>
      <c r="AI79" s="975"/>
      <c r="AJ79" s="960"/>
      <c r="AK79" s="976"/>
      <c r="AL79" s="977"/>
      <c r="AM79" s="965" t="n">
        <f aca="false">SUM(AD79,AG79,AJ79)</f>
        <v>0</v>
      </c>
      <c r="AN79" s="978"/>
      <c r="AO79" s="973"/>
      <c r="AP79" s="960"/>
      <c r="AQ79" s="974"/>
      <c r="AR79" s="975"/>
      <c r="AS79" s="960"/>
      <c r="AT79" s="974"/>
      <c r="AU79" s="975"/>
      <c r="AV79" s="960"/>
      <c r="AW79" s="976"/>
      <c r="AX79" s="977"/>
      <c r="AY79" s="965" t="n">
        <f aca="false">SUM(AP79,AS79,AV79)</f>
        <v>0</v>
      </c>
      <c r="AZ79" s="978"/>
      <c r="BA79" s="973"/>
      <c r="BB79" s="920" t="n">
        <f aca="false">SUM(F79,I79,L79,R79,U79,X79,AD79,AG79,AJ79,AP79,AS79,AV79)</f>
        <v>452</v>
      </c>
      <c r="BC79" s="979"/>
      <c r="BD79" s="919"/>
      <c r="BE79" s="919"/>
      <c r="BF79" s="919"/>
    </row>
    <row collapsed="false" customFormat="false" customHeight="false" hidden="false" ht="12.8" outlineLevel="0" r="80">
      <c r="A80" s="922"/>
      <c r="B80" s="953" t="str">
        <f aca="false">20_Prog_Gestion_Scios!B11</f>
        <v>Porcentaje de Cirugías electivas canceladas</v>
      </c>
      <c r="C80" s="923" t="s">
        <v>834</v>
      </c>
      <c r="D80" s="980" t="inlineStr">
        <f aca="false">20_Prog_Gestion_Scios!D11</f>
        <is>
          <t/>
        </is>
      </c>
      <c r="E80" s="981" t="inlineStr">
        <f aca="false">$D$80</f>
        <is>
          <t/>
        </is>
      </c>
      <c r="F80" s="982" t="n">
        <f aca="false">IF(ISERROR(F79/SUM(E40,E41)),"",F79/SUM(E40,E41))</f>
        <v>0.15067264573991</v>
      </c>
      <c r="G80" s="961" t="n">
        <f aca="false">IF(ISERROR(E80/F80),"",E80/F80)</f>
        <v>0.862797619047619</v>
      </c>
      <c r="H80" s="961" t="inlineStr">
        <f aca="false">$D$80</f>
        <is>
          <t/>
        </is>
      </c>
      <c r="I80" s="982" t="n">
        <f aca="false">IF(ISERROR(I79/SUM(H40,H41)),"",I79/SUM(H40,H41))</f>
        <v>0.19372197309417</v>
      </c>
      <c r="J80" s="961" t="n">
        <f aca="false">IF(ISERROR(H80/I80),"",H80/I80)</f>
        <v>0.671064814814815</v>
      </c>
      <c r="K80" s="961" t="inlineStr">
        <f aca="false">$D$80</f>
        <is>
          <t/>
        </is>
      </c>
      <c r="L80" s="982" t="n">
        <f aca="false">IF(ISERROR(L79/SUM(K40,K41)),"",L79/SUM(K40,K41))</f>
        <v>0.175784753363229</v>
      </c>
      <c r="M80" s="963" t="n">
        <f aca="false">IF(ISERROR(K80/L80),"",K80/L80)</f>
        <v>0.739540816326531</v>
      </c>
      <c r="N80" s="983" t="inlineStr">
        <f aca="false">$D80</f>
        <is>
          <t/>
        </is>
      </c>
      <c r="O80" s="982" t="n">
        <f aca="false">IF(ISERROR(O79/SUM(N40,N41)),"",O79/SUM(N40,N41))</f>
        <v>0.17339312406577</v>
      </c>
      <c r="P80" s="966" t="n">
        <f aca="false">IF(ISERROR(N80/O80),"",N80/O80)</f>
        <v>0.749741379310345</v>
      </c>
      <c r="Q80" s="981" t="inlineStr">
        <f aca="false">$D$80</f>
        <is>
          <t/>
        </is>
      </c>
      <c r="R80" s="982" t="n">
        <f aca="false">IF(ISERROR(R79/SUM(Q40,Q41)),"",R79/SUM(Q40,Q41))</f>
        <v>0.125560538116592</v>
      </c>
      <c r="S80" s="961" t="n">
        <f aca="false">IF(ISERROR(Q80/R80),"",Q80/R80)</f>
        <v>1.03535714285714</v>
      </c>
      <c r="T80" s="961" t="inlineStr">
        <f aca="false">$D$80</f>
        <is>
          <t/>
        </is>
      </c>
      <c r="U80" s="982" t="n">
        <f aca="false">IF(ISERROR(U79/SUM(T40,T41)),"",U79/SUM(T40,T41))</f>
        <v>0.165022421524664</v>
      </c>
      <c r="V80" s="961" t="n">
        <f aca="false">IF(ISERROR(T80/U80),"",T80/U80)</f>
        <v>0.787771739130435</v>
      </c>
      <c r="W80" s="961" t="inlineStr">
        <f aca="false">$D$80</f>
        <is>
          <t/>
        </is>
      </c>
      <c r="X80" s="982" t="n">
        <f aca="false">IF(ISERROR(X79/SUM(W40,W41)),"",X79/SUM(W40,W41))</f>
        <v>0</v>
      </c>
      <c r="Y80" s="963" t="str">
        <f aca="false">IF(ISERROR(W80/X80),"",W80/X80)</f>
        <v/>
      </c>
      <c r="Z80" s="983" t="inlineStr">
        <f aca="false">$D$80</f>
        <is>
          <t/>
        </is>
      </c>
      <c r="AA80" s="982" t="n">
        <f aca="false">IF(ISERROR(AA79/SUM(Z40,Z41)),"",AA79/SUM(Z40,Z41))</f>
        <v>0.0968609865470852</v>
      </c>
      <c r="AB80" s="966" t="n">
        <f aca="false">IF(ISERROR(Z80/AA80),"",Z80/AA80)</f>
        <v>1.34212962962963</v>
      </c>
      <c r="AC80" s="981" t="inlineStr">
        <f aca="false">$D$80</f>
        <is>
          <t/>
        </is>
      </c>
      <c r="AD80" s="982" t="n">
        <f aca="false">IF(ISERROR(AD79/SUM(AC40,AC41)),"",AD79/SUM(AC40,AC41))</f>
        <v>0</v>
      </c>
      <c r="AE80" s="961" t="str">
        <f aca="false">IF(ISERROR(AC80/AD80),"",AC80/AD80)</f>
        <v/>
      </c>
      <c r="AF80" s="961" t="inlineStr">
        <f aca="false">$D$80</f>
        <is>
          <t/>
        </is>
      </c>
      <c r="AG80" s="982" t="n">
        <f aca="false">IF(ISERROR(AG79/SUM(AF40,AF41)),"",AG79/SUM(AF40,AF41))</f>
        <v>0</v>
      </c>
      <c r="AH80" s="961" t="str">
        <f aca="false">IF(ISERROR(AF80/AG80),"",AF80/AG80)</f>
        <v/>
      </c>
      <c r="AI80" s="961" t="inlineStr">
        <f aca="false">$D$80</f>
        <is>
          <t/>
        </is>
      </c>
      <c r="AJ80" s="982" t="n">
        <f aca="false">IF(ISERROR(AJ79/SUM(AI40,AI41)),"",AJ79/SUM(AI40,AI41))</f>
        <v>0</v>
      </c>
      <c r="AK80" s="963" t="str">
        <f aca="false">IF(ISERROR(AI80/AJ80),"",AI80/AJ80)</f>
        <v/>
      </c>
      <c r="AL80" s="983" t="inlineStr">
        <f aca="false">$D$80</f>
        <is>
          <t/>
        </is>
      </c>
      <c r="AM80" s="982" t="n">
        <f aca="false">IF(ISERROR(AM79/SUM(AL40,AL41)),"",AM79/SUM(AL40,AL41))</f>
        <v>0</v>
      </c>
      <c r="AN80" s="966" t="str">
        <f aca="false">IF(ISERROR(AL80/AM80),"",AL80/AM80)</f>
        <v/>
      </c>
      <c r="AO80" s="981" t="inlineStr">
        <f aca="false">$D$80</f>
        <is>
          <t/>
        </is>
      </c>
      <c r="AP80" s="982" t="n">
        <f aca="false">IF(ISERROR(AP79/SUM(AO40,AO41)),"",AP79/SUM(AO40,AO41))</f>
        <v>0</v>
      </c>
      <c r="AQ80" s="961" t="str">
        <f aca="false">IF(ISERROR(AO80/AP80),"",AO80/AP80)</f>
        <v/>
      </c>
      <c r="AR80" s="961" t="inlineStr">
        <f aca="false">$D$80</f>
        <is>
          <t/>
        </is>
      </c>
      <c r="AS80" s="982" t="n">
        <f aca="false">IF(ISERROR(AS79/SUM(AR40,AR41)),"",AS79/SUM(AR40,AR41))</f>
        <v>0</v>
      </c>
      <c r="AT80" s="961" t="str">
        <f aca="false">IF(ISERROR(AR80/AS80),"",AR80/AS80)</f>
        <v/>
      </c>
      <c r="AU80" s="961" t="inlineStr">
        <f aca="false">$D$80</f>
        <is>
          <t/>
        </is>
      </c>
      <c r="AV80" s="982" t="n">
        <f aca="false">IF(ISERROR(AV79/SUM(AU40,AU41)),"",AV79/SUM(AU40,AU41))</f>
        <v>0</v>
      </c>
      <c r="AW80" s="963" t="str">
        <f aca="false">IF(ISERROR(AU80/AV80),"",AU80/AV80)</f>
        <v/>
      </c>
      <c r="AX80" s="983" t="inlineStr">
        <f aca="false">$D$80</f>
        <is>
          <t/>
        </is>
      </c>
      <c r="AY80" s="982" t="n">
        <f aca="false">IF(ISERROR(AY79/SUM(AX40,AX41)),"",AY79/SUM(AX40,AX41))</f>
        <v>0</v>
      </c>
      <c r="AZ80" s="966" t="str">
        <f aca="false">IF(ISERROR(AX80/AY80),"",AX80/AY80)</f>
        <v/>
      </c>
      <c r="BA80" s="981" t="inlineStr">
        <f aca="false">$D$80</f>
        <is>
          <t/>
        </is>
      </c>
      <c r="BB80" s="982" t="n">
        <f aca="false">IF(ISERROR(BB79/SUM(BA40,BA41)),"",BB79/SUM(BA40,BA41))</f>
        <v>0.0675635276532137</v>
      </c>
      <c r="BC80" s="984" t="n">
        <f aca="false">IF(ISERROR(BA80/BB80),"",BA80/BB80)</f>
        <v>1.92411504424779</v>
      </c>
      <c r="BD80" s="919"/>
      <c r="BE80" s="919"/>
      <c r="BF80" s="919"/>
    </row>
    <row collapsed="false" customFormat="false" customHeight="false" hidden="false" ht="12.8" outlineLevel="0" r="81">
      <c r="A81" s="922"/>
      <c r="B81" s="957" t="s">
        <v>835</v>
      </c>
      <c r="C81" s="923" t="s">
        <v>824</v>
      </c>
      <c r="D81" s="972"/>
      <c r="E81" s="973"/>
      <c r="F81" s="960" t="n">
        <v>36</v>
      </c>
      <c r="G81" s="974"/>
      <c r="H81" s="975"/>
      <c r="I81" s="960" t="n">
        <v>50</v>
      </c>
      <c r="J81" s="974"/>
      <c r="K81" s="975"/>
      <c r="L81" s="960" t="n">
        <v>28</v>
      </c>
      <c r="M81" s="976"/>
      <c r="N81" s="977"/>
      <c r="O81" s="965" t="n">
        <f aca="false">SUM(F81,I81,L81)</f>
        <v>114</v>
      </c>
      <c r="P81" s="978"/>
      <c r="Q81" s="973"/>
      <c r="R81" s="960" t="n">
        <v>38</v>
      </c>
      <c r="S81" s="974"/>
      <c r="T81" s="975"/>
      <c r="U81" s="960"/>
      <c r="V81" s="974"/>
      <c r="W81" s="975"/>
      <c r="X81" s="960"/>
      <c r="Y81" s="976"/>
      <c r="Z81" s="977"/>
      <c r="AA81" s="965" t="n">
        <f aca="false">SUM(R81,U81,X81)</f>
        <v>38</v>
      </c>
      <c r="AB81" s="978"/>
      <c r="AC81" s="973"/>
      <c r="AD81" s="960"/>
      <c r="AE81" s="974"/>
      <c r="AF81" s="975"/>
      <c r="AG81" s="960"/>
      <c r="AH81" s="974"/>
      <c r="AI81" s="975"/>
      <c r="AJ81" s="960"/>
      <c r="AK81" s="976"/>
      <c r="AL81" s="977"/>
      <c r="AM81" s="965" t="n">
        <f aca="false">SUM(AD81,AG81,AJ81)</f>
        <v>0</v>
      </c>
      <c r="AN81" s="978"/>
      <c r="AO81" s="973"/>
      <c r="AP81" s="960"/>
      <c r="AQ81" s="974"/>
      <c r="AR81" s="975"/>
      <c r="AS81" s="960"/>
      <c r="AT81" s="974"/>
      <c r="AU81" s="975"/>
      <c r="AV81" s="960"/>
      <c r="AW81" s="976"/>
      <c r="AX81" s="977"/>
      <c r="AY81" s="965" t="n">
        <f aca="false">SUM(AP81,AS81,AV81)</f>
        <v>0</v>
      </c>
      <c r="AZ81" s="978"/>
      <c r="BA81" s="973"/>
      <c r="BB81" s="920" t="n">
        <f aca="false">SUM(F81,I81,L81,R81,U81,X81,AD81,AG81,AJ81,AP81,AS81,AV81)</f>
        <v>152</v>
      </c>
      <c r="BC81" s="979"/>
      <c r="BD81" s="919"/>
      <c r="BE81" s="919"/>
      <c r="BF81" s="919"/>
    </row>
    <row collapsed="false" customFormat="false" customHeight="false" hidden="false" ht="12.8" outlineLevel="0" r="82">
      <c r="A82" s="922"/>
      <c r="B82" s="953" t="str">
        <f aca="false">20_Prog_Gestion_Scios!B12</f>
        <v>Porcentaje infecciones nosocomiales</v>
      </c>
      <c r="C82" s="923" t="s">
        <v>836</v>
      </c>
      <c r="D82" s="980" t="inlineStr">
        <f aca="false">20_Prog_Gestion_Scios!D12</f>
        <is>
          <t/>
        </is>
      </c>
      <c r="E82" s="981" t="inlineStr">
        <f aca="false">$D82</f>
        <is>
          <t/>
        </is>
      </c>
      <c r="F82" s="982" t="n">
        <f aca="false">IF(ISERROR(F81/SUM(F26:F38)),"",F81/SUM(F26:F38))</f>
        <v>0.0319432120674357</v>
      </c>
      <c r="G82" s="961" t="n">
        <f aca="false">IF(ISERROR(E82/F82),"",E82/F82)</f>
        <v>0.782638888888889</v>
      </c>
      <c r="H82" s="961" t="inlineStr">
        <f aca="false">$D82</f>
        <is>
          <t/>
        </is>
      </c>
      <c r="I82" s="982" t="n">
        <f aca="false">IF(ISERROR(I81/SUM(I26:I38)),"",I81/SUM(I26:I38))</f>
        <v>0.0444444444444444</v>
      </c>
      <c r="J82" s="961" t="n">
        <f aca="false">IF(ISERROR(H82/I82),"",H82/I82)</f>
        <v>0.5625</v>
      </c>
      <c r="K82" s="961" t="inlineStr">
        <f aca="false">$D82</f>
        <is>
          <t/>
        </is>
      </c>
      <c r="L82" s="982" t="n">
        <f aca="false">IF(ISERROR(L81/SUM(L26:L38)),"",L81/SUM(L26:L38))</f>
        <v>0.0223820943245404</v>
      </c>
      <c r="M82" s="963" t="n">
        <f aca="false">IF(ISERROR(K82/L82),"",K82/L82)</f>
        <v>1.11696428571429</v>
      </c>
      <c r="N82" s="983" t="inlineStr">
        <f aca="false">$D82</f>
        <is>
          <t/>
        </is>
      </c>
      <c r="O82" s="982" t="n">
        <f aca="false">IF(ISERROR(O81/SUM(O26:O38)),"",O81/SUM(O26:O38))</f>
        <v>0.0325435341136169</v>
      </c>
      <c r="P82" s="966" t="n">
        <f aca="false">IF(ISERROR(N82/O82),"",N82/O82)</f>
        <v>0.768201754385965</v>
      </c>
      <c r="Q82" s="981" t="inlineStr">
        <f aca="false">$D82</f>
        <is>
          <t/>
        </is>
      </c>
      <c r="R82" s="982" t="n">
        <f aca="false">IF(ISERROR(R81/SUM(R26:R38)),"",R81/SUM(R26:R38))</f>
        <v>0.0344827586206897</v>
      </c>
      <c r="S82" s="961" t="n">
        <f aca="false">IF(ISERROR(Q82/R82),"",Q82/R82)</f>
        <v>0.725</v>
      </c>
      <c r="T82" s="961" t="inlineStr">
        <f aca="false">$D82</f>
        <is>
          <t/>
        </is>
      </c>
      <c r="U82" s="982" t="n">
        <f aca="false">IF(ISERROR(U81/SUM(U26:U38)),"",U81/SUM(U26:U38))</f>
        <v>0</v>
      </c>
      <c r="V82" s="961" t="str">
        <f aca="false">IF(ISERROR(T82/U82),"",T82/U82)</f>
        <v/>
      </c>
      <c r="W82" s="961" t="inlineStr">
        <f aca="false">$D82</f>
        <is>
          <t/>
        </is>
      </c>
      <c r="X82" s="982" t="n">
        <f aca="false">IF(ISERROR(X81/SUM(X26:X38)),"",X81/SUM(X26:X38))</f>
        <v>0</v>
      </c>
      <c r="Y82" s="963" t="str">
        <f aca="false">IF(ISERROR(W82/X82),"",W82/X82)</f>
        <v/>
      </c>
      <c r="Z82" s="983" t="inlineStr">
        <f aca="false">$D82</f>
        <is>
          <t/>
        </is>
      </c>
      <c r="AA82" s="982" t="n">
        <f aca="false">IF(ISERROR(AA81/SUM(AA26:AA38)),"",AA81/SUM(AA26:AA38))</f>
        <v>0.010388190267906</v>
      </c>
      <c r="AB82" s="966" t="n">
        <f aca="false">IF(ISERROR(Z82/AA82),"",Z82/AA82)</f>
        <v>2.40657894736842</v>
      </c>
      <c r="AC82" s="981" t="inlineStr">
        <f aca="false">$D82</f>
        <is>
          <t/>
        </is>
      </c>
      <c r="AD82" s="982" t="str">
        <f aca="false">IF(ISERROR(AD81/SUM(AD26:AD38)),"",AD81/SUM(AD26:AD38))</f>
        <v/>
      </c>
      <c r="AE82" s="961" t="str">
        <f aca="false">IF(ISERROR(AC82/AD82),"",AC82/AD82)</f>
        <v/>
      </c>
      <c r="AF82" s="961" t="inlineStr">
        <f aca="false">$D82</f>
        <is>
          <t/>
        </is>
      </c>
      <c r="AG82" s="982" t="str">
        <f aca="false">IF(ISERROR(AG81/SUM(AG26:AG38)),"",AG81/SUM(AG26:AG38))</f>
        <v/>
      </c>
      <c r="AH82" s="961" t="str">
        <f aca="false">IF(ISERROR(AF82/AG82),"",AF82/AG82)</f>
        <v/>
      </c>
      <c r="AI82" s="961" t="inlineStr">
        <f aca="false">$D82</f>
        <is>
          <t/>
        </is>
      </c>
      <c r="AJ82" s="982" t="str">
        <f aca="false">IF(ISERROR(AJ81/SUM(AJ26:AJ38)),"",AJ81/SUM(AJ26:AJ38))</f>
        <v/>
      </c>
      <c r="AK82" s="963" t="str">
        <f aca="false">IF(ISERROR(AI82/AJ82),"",AI82/AJ82)</f>
        <v/>
      </c>
      <c r="AL82" s="983" t="inlineStr">
        <f aca="false">$D82</f>
        <is>
          <t/>
        </is>
      </c>
      <c r="AM82" s="982" t="str">
        <f aca="false">IF(ISERROR(AM81/SUM(AM26:AM38)),"",AM81/SUM(AM26:AM38))</f>
        <v/>
      </c>
      <c r="AN82" s="966" t="str">
        <f aca="false">IF(ISERROR(AL82/AM82),"",AL82/AM82)</f>
        <v/>
      </c>
      <c r="AO82" s="981" t="inlineStr">
        <f aca="false">$D82</f>
        <is>
          <t/>
        </is>
      </c>
      <c r="AP82" s="982" t="str">
        <f aca="false">IF(ISERROR(AP81/SUM(AP26:AP38)),"",AP81/SUM(AP26:AP38))</f>
        <v/>
      </c>
      <c r="AQ82" s="961" t="str">
        <f aca="false">IF(ISERROR(AO82/AP82),"",AO82/AP82)</f>
        <v/>
      </c>
      <c r="AR82" s="961" t="inlineStr">
        <f aca="false">$D82</f>
        <is>
          <t/>
        </is>
      </c>
      <c r="AS82" s="982" t="str">
        <f aca="false">IF(ISERROR(AS81/SUM(AS26:AS38)),"",AS81/SUM(AS26:AS38))</f>
        <v/>
      </c>
      <c r="AT82" s="961" t="str">
        <f aca="false">IF(ISERROR(AR82/AS82),"",AR82/AS82)</f>
        <v/>
      </c>
      <c r="AU82" s="961" t="inlineStr">
        <f aca="false">$D82</f>
        <is>
          <t/>
        </is>
      </c>
      <c r="AV82" s="982" t="str">
        <f aca="false">IF(ISERROR(AV81/SUM(AV26:AV38)),"",AV81/SUM(AV26:AV38))</f>
        <v/>
      </c>
      <c r="AW82" s="963" t="str">
        <f aca="false">IF(ISERROR(AU82/AV82),"",AU82/AV82)</f>
        <v/>
      </c>
      <c r="AX82" s="983" t="inlineStr">
        <f aca="false">$D82</f>
        <is>
          <t/>
        </is>
      </c>
      <c r="AY82" s="982" t="str">
        <f aca="false">IF(ISERROR(AY81/SUM(AY26:AY38)),"",AY81/SUM(AY26:AY38))</f>
        <v/>
      </c>
      <c r="AZ82" s="966" t="str">
        <f aca="false">IF(ISERROR(AX82/AY82),"",AX82/AY82)</f>
        <v/>
      </c>
      <c r="BA82" s="981" t="inlineStr">
        <f aca="false">$D82</f>
        <is>
          <t/>
        </is>
      </c>
      <c r="BB82" s="982" t="n">
        <f aca="false">IF(ISERROR(BB81/SUM(BB26:BB38)),"",BB81/SUM(BB26:BB38))</f>
        <v>0.0212260857422148</v>
      </c>
      <c r="BC82" s="984" t="n">
        <f aca="false">IF(ISERROR(BA82/BB82),"",BA82/BB82)</f>
        <v>1.17779605263158</v>
      </c>
      <c r="BD82" s="919"/>
      <c r="BE82" s="919"/>
      <c r="BF82" s="919"/>
    </row>
    <row collapsed="false" customFormat="false" customHeight="false" hidden="false" ht="12.8" outlineLevel="0" r="83">
      <c r="A83" s="922"/>
      <c r="B83" s="957" t="s">
        <v>837</v>
      </c>
      <c r="C83" s="923" t="s">
        <v>824</v>
      </c>
      <c r="D83" s="972"/>
      <c r="E83" s="973"/>
      <c r="F83" s="960" t="n">
        <v>9</v>
      </c>
      <c r="G83" s="974"/>
      <c r="H83" s="975"/>
      <c r="I83" s="960" t="n">
        <v>7</v>
      </c>
      <c r="J83" s="974"/>
      <c r="K83" s="975"/>
      <c r="L83" s="960" t="n">
        <v>9</v>
      </c>
      <c r="M83" s="976"/>
      <c r="N83" s="977"/>
      <c r="O83" s="965" t="n">
        <f aca="false">SUM(F83,I83,L83)</f>
        <v>25</v>
      </c>
      <c r="P83" s="978"/>
      <c r="Q83" s="973"/>
      <c r="R83" s="960" t="n">
        <v>27</v>
      </c>
      <c r="S83" s="974"/>
      <c r="T83" s="975"/>
      <c r="U83" s="960"/>
      <c r="V83" s="974"/>
      <c r="W83" s="975"/>
      <c r="X83" s="960"/>
      <c r="Y83" s="976"/>
      <c r="Z83" s="977"/>
      <c r="AA83" s="965" t="n">
        <f aca="false">SUM(R83,U83,X83)</f>
        <v>27</v>
      </c>
      <c r="AB83" s="978"/>
      <c r="AC83" s="973"/>
      <c r="AD83" s="960"/>
      <c r="AE83" s="974"/>
      <c r="AF83" s="975"/>
      <c r="AG83" s="960"/>
      <c r="AH83" s="974"/>
      <c r="AI83" s="975"/>
      <c r="AJ83" s="960"/>
      <c r="AK83" s="976"/>
      <c r="AL83" s="977"/>
      <c r="AM83" s="965" t="n">
        <f aca="false">SUM(AD83,AG83,AJ83)</f>
        <v>0</v>
      </c>
      <c r="AN83" s="978"/>
      <c r="AO83" s="973"/>
      <c r="AP83" s="960"/>
      <c r="AQ83" s="974"/>
      <c r="AR83" s="975"/>
      <c r="AS83" s="960"/>
      <c r="AT83" s="974"/>
      <c r="AU83" s="975"/>
      <c r="AV83" s="960"/>
      <c r="AW83" s="976"/>
      <c r="AX83" s="977"/>
      <c r="AY83" s="965" t="n">
        <f aca="false">SUM(AP83,AS83,AV83)</f>
        <v>0</v>
      </c>
      <c r="AZ83" s="978"/>
      <c r="BA83" s="973"/>
      <c r="BB83" s="920" t="n">
        <f aca="false">SUM(F83,I83,L83,R83,U83,X83,AD83,AG83,AJ83,AP83,AS83,AV83)</f>
        <v>52</v>
      </c>
      <c r="BC83" s="979"/>
      <c r="BD83" s="919"/>
      <c r="BE83" s="919"/>
      <c r="BF83" s="919"/>
    </row>
    <row collapsed="false" customFormat="false" customHeight="false" hidden="false" ht="12.8" outlineLevel="0" r="84">
      <c r="A84" s="922"/>
      <c r="B84" s="953" t="str">
        <f aca="false">20_Prog_Gestion_Scios!B13</f>
        <v>Porcentaje muertes intrahospitalarias antes de 48 horas</v>
      </c>
      <c r="C84" s="923" t="s">
        <v>836</v>
      </c>
      <c r="D84" s="980" t="inlineStr">
        <f aca="false">20_Prog_Gestion_Scios!D13</f>
        <is>
          <t/>
        </is>
      </c>
      <c r="E84" s="981" t="inlineStr">
        <f aca="false">$D84</f>
        <is>
          <t/>
        </is>
      </c>
      <c r="F84" s="982" t="n">
        <f aca="false">IF(ISERROR(F83/SUM(F26:F38)),"",F83/SUM(F26:F38))</f>
        <v>0.00798580301685892</v>
      </c>
      <c r="G84" s="961" t="n">
        <f aca="false">IF(ISERROR(E84/F84),"",E84/F84)</f>
        <v>0.626111111111111</v>
      </c>
      <c r="H84" s="961" t="inlineStr">
        <f aca="false">$D84</f>
        <is>
          <t/>
        </is>
      </c>
      <c r="I84" s="982" t="n">
        <f aca="false">IF(ISERROR(I83/SUM(I26:I38)),"",I83/SUM(I26:I38))</f>
        <v>0.00622222222222222</v>
      </c>
      <c r="J84" s="961" t="n">
        <f aca="false">IF(ISERROR(H84/I84),"",H84/I84)</f>
        <v>0.803571428571429</v>
      </c>
      <c r="K84" s="961" t="inlineStr">
        <f aca="false">$D84</f>
        <is>
          <t/>
        </is>
      </c>
      <c r="L84" s="982" t="n">
        <f aca="false">IF(ISERROR(L83/SUM(L26:L38)),"",L83/SUM(L26:L38))</f>
        <v>0.00719424460431655</v>
      </c>
      <c r="M84" s="963" t="n">
        <f aca="false">IF(ISERROR(K84/L84),"",K84/L84)</f>
        <v>0.695</v>
      </c>
      <c r="N84" s="983" t="inlineStr">
        <f aca="false">$D84</f>
        <is>
          <t/>
        </is>
      </c>
      <c r="O84" s="982" t="n">
        <f aca="false">IF(ISERROR(O83/SUM(O26:O38)),"",O83/SUM(O26:O38))</f>
        <v>0.00713673993719669</v>
      </c>
      <c r="P84" s="966" t="n">
        <f aca="false">IF(ISERROR(N84/O84),"",N84/O84)</f>
        <v>0.7006</v>
      </c>
      <c r="Q84" s="981" t="inlineStr">
        <f aca="false">$D84</f>
        <is>
          <t/>
        </is>
      </c>
      <c r="R84" s="982" t="n">
        <f aca="false">IF(ISERROR(R83/SUM(R26:R38)),"",R83/SUM(R26:R38))</f>
        <v>0.0245009074410163</v>
      </c>
      <c r="S84" s="961" t="n">
        <f aca="false">IF(ISERROR(Q84/R84),"",Q84/R84)</f>
        <v>0.204074074074074</v>
      </c>
      <c r="T84" s="961" t="inlineStr">
        <f aca="false">$D84</f>
        <is>
          <t/>
        </is>
      </c>
      <c r="U84" s="982" t="n">
        <f aca="false">IF(ISERROR(U83/SUM(U26:U38)),"",U83/SUM(U26:U38))</f>
        <v>0</v>
      </c>
      <c r="V84" s="961" t="str">
        <f aca="false">IF(ISERROR(T84/U84),"",T84/U84)</f>
        <v/>
      </c>
      <c r="W84" s="961" t="inlineStr">
        <f aca="false">$D84</f>
        <is>
          <t/>
        </is>
      </c>
      <c r="X84" s="982" t="n">
        <f aca="false">IF(ISERROR(X83/SUM(X26:X38)),"",X83/SUM(X26:X38))</f>
        <v>0</v>
      </c>
      <c r="Y84" s="963" t="str">
        <f aca="false">IF(ISERROR(W84/X84),"",W84/X84)</f>
        <v/>
      </c>
      <c r="Z84" s="983" t="inlineStr">
        <f aca="false">$D84</f>
        <is>
          <t/>
        </is>
      </c>
      <c r="AA84" s="982" t="n">
        <f aca="false">IF(ISERROR(AA83/SUM(AA26:AA38)),"",AA83/SUM(AA26:AA38))</f>
        <v>0.00738108255877529</v>
      </c>
      <c r="AB84" s="966" t="n">
        <f aca="false">IF(ISERROR(Z84/AA84),"",Z84/AA84)</f>
        <v>0.677407407407407</v>
      </c>
      <c r="AC84" s="981" t="inlineStr">
        <f aca="false">$D84</f>
        <is>
          <t/>
        </is>
      </c>
      <c r="AD84" s="982" t="str">
        <f aca="false">IF(ISERROR(AD83/SUM(AD26:AD38)),"",AD83/SUM(AD26:AD38))</f>
        <v/>
      </c>
      <c r="AE84" s="961" t="str">
        <f aca="false">IF(ISERROR(AC84/AD84),"",AC84/AD84)</f>
        <v/>
      </c>
      <c r="AF84" s="961" t="inlineStr">
        <f aca="false">$D84</f>
        <is>
          <t/>
        </is>
      </c>
      <c r="AG84" s="982" t="str">
        <f aca="false">IF(ISERROR(AG83/SUM(AG26:AG38)),"",AG83/SUM(AG26:AG38))</f>
        <v/>
      </c>
      <c r="AH84" s="961" t="str">
        <f aca="false">IF(ISERROR(AF84/AG84),"",AF84/AG84)</f>
        <v/>
      </c>
      <c r="AI84" s="961" t="inlineStr">
        <f aca="false">$D84</f>
        <is>
          <t/>
        </is>
      </c>
      <c r="AJ84" s="982" t="str">
        <f aca="false">IF(ISERROR(AJ83/SUM(AJ26:AJ38)),"",AJ83/SUM(AJ26:AJ38))</f>
        <v/>
      </c>
      <c r="AK84" s="963" t="str">
        <f aca="false">IF(ISERROR(AI84/AJ84),"",AI84/AJ84)</f>
        <v/>
      </c>
      <c r="AL84" s="983" t="inlineStr">
        <f aca="false">$D84</f>
        <is>
          <t/>
        </is>
      </c>
      <c r="AM84" s="982" t="str">
        <f aca="false">IF(ISERROR(AM83/SUM(AM26:AM38)),"",AM83/SUM(AM26:AM38))</f>
        <v/>
      </c>
      <c r="AN84" s="966" t="str">
        <f aca="false">IF(ISERROR(AL84/AM84),"",AL84/AM84)</f>
        <v/>
      </c>
      <c r="AO84" s="981" t="inlineStr">
        <f aca="false">$D84</f>
        <is>
          <t/>
        </is>
      </c>
      <c r="AP84" s="982" t="str">
        <f aca="false">IF(ISERROR(AP83/SUM(AP26:AP38)),"",AP83/SUM(AP26:AP38))</f>
        <v/>
      </c>
      <c r="AQ84" s="961" t="str">
        <f aca="false">IF(ISERROR(AO84/AP84),"",AO84/AP84)</f>
        <v/>
      </c>
      <c r="AR84" s="961" t="inlineStr">
        <f aca="false">$D84</f>
        <is>
          <t/>
        </is>
      </c>
      <c r="AS84" s="982" t="str">
        <f aca="false">IF(ISERROR(AS83/SUM(AS26:AS38)),"",AS83/SUM(AS26:AS38))</f>
        <v/>
      </c>
      <c r="AT84" s="961" t="str">
        <f aca="false">IF(ISERROR(AR84/AS84),"",AR84/AS84)</f>
        <v/>
      </c>
      <c r="AU84" s="961" t="inlineStr">
        <f aca="false">$D84</f>
        <is>
          <t/>
        </is>
      </c>
      <c r="AV84" s="982" t="str">
        <f aca="false">IF(ISERROR(AV83/SUM(AV26:AV38)),"",AV83/SUM(AV26:AV38))</f>
        <v/>
      </c>
      <c r="AW84" s="963" t="str">
        <f aca="false">IF(ISERROR(AU84/AV84),"",AU84/AV84)</f>
        <v/>
      </c>
      <c r="AX84" s="983" t="inlineStr">
        <f aca="false">$D84</f>
        <is>
          <t/>
        </is>
      </c>
      <c r="AY84" s="982" t="str">
        <f aca="false">IF(ISERROR(AY83/SUM(AY26:AY38)),"",AY83/SUM(AY26:AY38))</f>
        <v/>
      </c>
      <c r="AZ84" s="966" t="str">
        <f aca="false">IF(ISERROR(AX84/AY84),"",AX84/AY84)</f>
        <v/>
      </c>
      <c r="BA84" s="981" t="inlineStr">
        <f aca="false">$D84</f>
        <is>
          <t/>
        </is>
      </c>
      <c r="BB84" s="982" t="n">
        <f aca="false">IF(ISERROR(BB83/SUM(BB26:BB38)),"",BB83/SUM(BB26:BB38))</f>
        <v>0.00726155564865242</v>
      </c>
      <c r="BC84" s="984" t="n">
        <f aca="false">IF(ISERROR(BA84/BB84),"",BA84/BB84)</f>
        <v>0.688557692307692</v>
      </c>
      <c r="BD84" s="919"/>
      <c r="BE84" s="919"/>
      <c r="BF84" s="919"/>
    </row>
    <row collapsed="false" customFormat="false" customHeight="false" hidden="false" ht="12.8" outlineLevel="0" r="85">
      <c r="A85" s="922"/>
      <c r="B85" s="957" t="s">
        <v>838</v>
      </c>
      <c r="C85" s="923" t="s">
        <v>824</v>
      </c>
      <c r="D85" s="972"/>
      <c r="E85" s="973"/>
      <c r="F85" s="960" t="n">
        <v>24</v>
      </c>
      <c r="G85" s="974"/>
      <c r="H85" s="975"/>
      <c r="I85" s="960" t="n">
        <v>31</v>
      </c>
      <c r="J85" s="974"/>
      <c r="K85" s="975"/>
      <c r="L85" s="960" t="n">
        <v>16</v>
      </c>
      <c r="M85" s="976"/>
      <c r="N85" s="977"/>
      <c r="O85" s="965" t="n">
        <f aca="false">SUM(F85,I85,L85)</f>
        <v>71</v>
      </c>
      <c r="P85" s="978"/>
      <c r="Q85" s="973"/>
      <c r="R85" s="960" t="n">
        <v>13</v>
      </c>
      <c r="S85" s="974"/>
      <c r="T85" s="975"/>
      <c r="U85" s="960"/>
      <c r="V85" s="974"/>
      <c r="W85" s="975"/>
      <c r="X85" s="960"/>
      <c r="Y85" s="976"/>
      <c r="Z85" s="977"/>
      <c r="AA85" s="965" t="n">
        <f aca="false">SUM(R85,U85,X85)</f>
        <v>13</v>
      </c>
      <c r="AB85" s="978"/>
      <c r="AC85" s="973"/>
      <c r="AD85" s="960"/>
      <c r="AE85" s="974"/>
      <c r="AF85" s="975"/>
      <c r="AG85" s="960"/>
      <c r="AH85" s="974"/>
      <c r="AI85" s="975"/>
      <c r="AJ85" s="960"/>
      <c r="AK85" s="976"/>
      <c r="AL85" s="977"/>
      <c r="AM85" s="965" t="n">
        <f aca="false">SUM(AD85,AG85,AJ85)</f>
        <v>0</v>
      </c>
      <c r="AN85" s="978"/>
      <c r="AO85" s="973"/>
      <c r="AP85" s="960"/>
      <c r="AQ85" s="974"/>
      <c r="AR85" s="975"/>
      <c r="AS85" s="960"/>
      <c r="AT85" s="974"/>
      <c r="AU85" s="975"/>
      <c r="AV85" s="960"/>
      <c r="AW85" s="976"/>
      <c r="AX85" s="977"/>
      <c r="AY85" s="965" t="n">
        <f aca="false">SUM(AP85,AS85,AV85)</f>
        <v>0</v>
      </c>
      <c r="AZ85" s="978"/>
      <c r="BA85" s="973"/>
      <c r="BB85" s="920" t="n">
        <f aca="false">SUM(F85,I85,L85,R85,U85,X85,AD85,AG85,AJ85,AP85,AS85,AV85)</f>
        <v>84</v>
      </c>
      <c r="BC85" s="979"/>
      <c r="BD85" s="919"/>
      <c r="BE85" s="919"/>
      <c r="BF85" s="919"/>
    </row>
    <row collapsed="false" customFormat="false" customHeight="false" hidden="false" ht="23.85" outlineLevel="0" r="86">
      <c r="A86" s="922"/>
      <c r="B86" s="953" t="str">
        <f aca="false">20_Prog_Gestion_Scios!B14</f>
        <v>Porcentaje muertes intrahospitalarias después de 48 horas</v>
      </c>
      <c r="C86" s="923" t="s">
        <v>836</v>
      </c>
      <c r="D86" s="980" t="inlineStr">
        <f aca="false">20_Prog_Gestion_Scios!D14</f>
        <is>
          <t/>
        </is>
      </c>
      <c r="E86" s="981" t="inlineStr">
        <f aca="false">$D86</f>
        <is>
          <t/>
        </is>
      </c>
      <c r="F86" s="982" t="n">
        <f aca="false">IF(ISERROR(F85/F12),"",F85/F12)</f>
        <v>0.0136596471257826</v>
      </c>
      <c r="G86" s="961" t="n">
        <f aca="false">IF(ISERROR(E86/F86),"",E86/F86)</f>
        <v>2.04983333333333</v>
      </c>
      <c r="H86" s="961" t="inlineStr">
        <f aca="false">$D86</f>
        <is>
          <t/>
        </is>
      </c>
      <c r="I86" s="982" t="n">
        <f aca="false">IF(ISERROR(I85/I12),"",I85/I12)</f>
        <v>0.0180547466511357</v>
      </c>
      <c r="J86" s="961" t="n">
        <f aca="false">IF(ISERROR(H86/I86),"",H86/I86)</f>
        <v>1.55083870967742</v>
      </c>
      <c r="K86" s="961" t="inlineStr">
        <f aca="false">$D86</f>
        <is>
          <t/>
        </is>
      </c>
      <c r="L86" s="982" t="n">
        <f aca="false">IF(ISERROR(L85/L12),"",L85/L12)</f>
        <v>0.00631662060797473</v>
      </c>
      <c r="M86" s="963" t="n">
        <f aca="false">IF(ISERROR(K86/L86),"",K86/L86)</f>
        <v>4.43275</v>
      </c>
      <c r="N86" s="983" t="inlineStr">
        <f aca="false">$D86</f>
        <is>
          <t/>
        </is>
      </c>
      <c r="O86" s="982" t="n">
        <f aca="false">IF(ISERROR(O85/O12),"",O85/O12)</f>
        <v>0.0118195438654903</v>
      </c>
      <c r="P86" s="966" t="n">
        <f aca="false">IF(ISERROR(N86/O86),"",N86/O86)</f>
        <v>2.36895774647887</v>
      </c>
      <c r="Q86" s="981" t="inlineStr">
        <f aca="false">$D86</f>
        <is>
          <t/>
        </is>
      </c>
      <c r="R86" s="982" t="n">
        <f aca="false">IF(ISERROR(R85/R12),"",R85/R12)</f>
        <v>0.00744132799084144</v>
      </c>
      <c r="S86" s="961" t="n">
        <f aca="false">IF(ISERROR(Q86/R86),"",Q86/R86)</f>
        <v>3.76276923076923</v>
      </c>
      <c r="T86" s="961" t="inlineStr">
        <f aca="false">$D86</f>
        <is>
          <t/>
        </is>
      </c>
      <c r="U86" s="982" t="n">
        <f aca="false">IF(ISERROR(U85/U12),"",U85/U12)</f>
        <v>0</v>
      </c>
      <c r="V86" s="961" t="str">
        <f aca="false">IF(ISERROR(T86/U86),"",T86/U86)</f>
        <v/>
      </c>
      <c r="W86" s="961" t="inlineStr">
        <f aca="false">$D86</f>
        <is>
          <t/>
        </is>
      </c>
      <c r="X86" s="982" t="n">
        <f aca="false">IF(ISERROR(X85/X12),"",X85/X12)</f>
        <v>0</v>
      </c>
      <c r="Y86" s="963" t="str">
        <f aca="false">IF(ISERROR(W86/X86),"",W86/X86)</f>
        <v/>
      </c>
      <c r="Z86" s="983" t="inlineStr">
        <f aca="false">$D86</f>
        <is>
          <t/>
        </is>
      </c>
      <c r="AA86" s="982" t="n">
        <f aca="false">IF(ISERROR(AA85/AA12),"",AA85/AA12)</f>
        <v>0.00243582537005809</v>
      </c>
      <c r="AB86" s="966" t="n">
        <f aca="false">IF(ISERROR(Z86/AA86),"",Z86/AA86)</f>
        <v>11.4950769230769</v>
      </c>
      <c r="AC86" s="981" t="inlineStr">
        <f aca="false">$D86</f>
        <is>
          <t/>
        </is>
      </c>
      <c r="AD86" s="982" t="str">
        <f aca="false">IF(ISERROR(AD85/AD12),"",AD85/AD12)</f>
        <v/>
      </c>
      <c r="AE86" s="961" t="str">
        <f aca="false">IF(ISERROR(AC86/AD86),"",AC86/AD86)</f>
        <v/>
      </c>
      <c r="AF86" s="961" t="inlineStr">
        <f aca="false">$D86</f>
        <is>
          <t/>
        </is>
      </c>
      <c r="AG86" s="982" t="str">
        <f aca="false">IF(ISERROR(AG85/AG12),"",AG85/AG12)</f>
        <v/>
      </c>
      <c r="AH86" s="961" t="str">
        <f aca="false">IF(ISERROR(AF86/AG86),"",AF86/AG86)</f>
        <v/>
      </c>
      <c r="AI86" s="961" t="inlineStr">
        <f aca="false">$D86</f>
        <is>
          <t/>
        </is>
      </c>
      <c r="AJ86" s="982" t="str">
        <f aca="false">IF(ISERROR(AJ85/AJ12),"",AJ85/AJ12)</f>
        <v/>
      </c>
      <c r="AK86" s="963" t="str">
        <f aca="false">IF(ISERROR(AI86/AJ86),"",AI86/AJ86)</f>
        <v/>
      </c>
      <c r="AL86" s="983" t="inlineStr">
        <f aca="false">$D86</f>
        <is>
          <t/>
        </is>
      </c>
      <c r="AM86" s="982" t="str">
        <f aca="false">IF(ISERROR(AM85/AM12),"",AM85/AM12)</f>
        <v/>
      </c>
      <c r="AN86" s="966" t="str">
        <f aca="false">IF(ISERROR(AL86/AM86),"",AL86/AM86)</f>
        <v/>
      </c>
      <c r="AO86" s="981" t="inlineStr">
        <f aca="false">$D86</f>
        <is>
          <t/>
        </is>
      </c>
      <c r="AP86" s="982" t="str">
        <f aca="false">IF(ISERROR(AP85/AP12),"",AP85/AP12)</f>
        <v/>
      </c>
      <c r="AQ86" s="961" t="str">
        <f aca="false">IF(ISERROR(AO86/AP86),"",AO86/AP86)</f>
        <v/>
      </c>
      <c r="AR86" s="961" t="inlineStr">
        <f aca="false">$D86</f>
        <is>
          <t/>
        </is>
      </c>
      <c r="AS86" s="982" t="str">
        <f aca="false">IF(ISERROR(AS85/AS12),"",AS85/AS12)</f>
        <v/>
      </c>
      <c r="AT86" s="961" t="str">
        <f aca="false">IF(ISERROR(AR86/AS86),"",AR86/AS86)</f>
        <v/>
      </c>
      <c r="AU86" s="961" t="inlineStr">
        <f aca="false">$D86</f>
        <is>
          <t/>
        </is>
      </c>
      <c r="AV86" s="982" t="str">
        <f aca="false">IF(ISERROR(AV85/AV12),"",AV85/AV12)</f>
        <v/>
      </c>
      <c r="AW86" s="963" t="str">
        <f aca="false">IF(ISERROR(AU86/AV86),"",AU86/AV86)</f>
        <v/>
      </c>
      <c r="AX86" s="983" t="inlineStr">
        <f aca="false">$D86</f>
        <is>
          <t/>
        </is>
      </c>
      <c r="AY86" s="982" t="str">
        <f aca="false">IF(ISERROR(AY85/AY12),"",AY85/AY12)</f>
        <v/>
      </c>
      <c r="AZ86" s="966" t="str">
        <f aca="false">IF(ISERROR(AX86/AY86),"",AX86/AY86)</f>
        <v/>
      </c>
      <c r="BA86" s="981" t="inlineStr">
        <f aca="false">$D86</f>
        <is>
          <t/>
        </is>
      </c>
      <c r="BB86" s="982" t="n">
        <f aca="false">IF(ISERROR(BB85/BB12),"",BB85/BB12)</f>
        <v>0.00740479548660085</v>
      </c>
      <c r="BC86" s="984" t="n">
        <f aca="false">IF(ISERROR(BA86/BB86),"",BA86/BB86)</f>
        <v>3.78133333333333</v>
      </c>
      <c r="BD86" s="919"/>
      <c r="BE86" s="919"/>
      <c r="BF86" s="919"/>
    </row>
    <row collapsed="false" customFormat="false" customHeight="false" hidden="false" ht="12.8" outlineLevel="0" r="87">
      <c r="A87" s="922"/>
      <c r="B87" s="953" t="str">
        <f aca="false">20_Prog_Gestion_Scios!B15</f>
        <v>Pacientes recibidos de otras Instituciones.</v>
      </c>
      <c r="C87" s="943" t="s">
        <v>839</v>
      </c>
      <c r="D87" s="958" t="n">
        <f aca="false">20_Prog_Gestion_Scios!D15</f>
        <v>0</v>
      </c>
      <c r="E87" s="903" t="n">
        <f aca="false">IF(ISERROR($D87/12),"",$D87/12)</f>
        <v>0</v>
      </c>
      <c r="F87" s="907"/>
      <c r="G87" s="905" t="str">
        <f aca="false">IF(ISERROR(F87/E87),"",F87/E87)</f>
        <v/>
      </c>
      <c r="H87" s="906" t="n">
        <f aca="false">IF(ISERROR($D87/12),"",$D87/12)</f>
        <v>0</v>
      </c>
      <c r="I87" s="920"/>
      <c r="J87" s="905" t="str">
        <f aca="false">IF(ISERROR(I87/H87),"",I87/H87)</f>
        <v/>
      </c>
      <c r="K87" s="906" t="n">
        <f aca="false">IF(ISERROR($D87/12),"",$D87/12)</f>
        <v>0</v>
      </c>
      <c r="L87" s="920"/>
      <c r="M87" s="908" t="str">
        <f aca="false">IF(ISERROR(L87/K87),"",L87/K87)</f>
        <v/>
      </c>
      <c r="N87" s="909" t="n">
        <f aca="false">SUM(E87,H87,K87)</f>
        <v>0</v>
      </c>
      <c r="O87" s="920" t="n">
        <f aca="false">SUM(F87,I87,L87)</f>
        <v>0</v>
      </c>
      <c r="P87" s="911" t="str">
        <f aca="false">IF(ISERROR(O87/N87),"",O87/N87)</f>
        <v/>
      </c>
      <c r="Q87" s="903" t="n">
        <f aca="false">IF(ISERROR($D87/12),"",$D87/12)</f>
        <v>0</v>
      </c>
      <c r="R87" s="920"/>
      <c r="S87" s="912" t="str">
        <f aca="false">IF(ISERROR(R87/Q87),"",R87/Q87)</f>
        <v/>
      </c>
      <c r="T87" s="906" t="n">
        <f aca="false">IF(ISERROR($D87/12),"",$D87/12)</f>
        <v>0</v>
      </c>
      <c r="U87" s="920"/>
      <c r="V87" s="912" t="str">
        <f aca="false">IF(ISERROR(U87/T87),"",U87/T87)</f>
        <v/>
      </c>
      <c r="W87" s="906" t="n">
        <f aca="false">IF(ISERROR($D87/12),"",$D87/12)</f>
        <v>0</v>
      </c>
      <c r="X87" s="920"/>
      <c r="Y87" s="913" t="str">
        <f aca="false">IF(ISERROR(X87/W87),"",X87/W87)</f>
        <v/>
      </c>
      <c r="Z87" s="909" t="n">
        <f aca="false">SUM(Q87,T87,W87)</f>
        <v>0</v>
      </c>
      <c r="AA87" s="920" t="n">
        <f aca="false">SUM(R87,U87,X87)</f>
        <v>0</v>
      </c>
      <c r="AB87" s="911" t="str">
        <f aca="false">IF(ISERROR(AA87/Z87),"",AA87/Z87)</f>
        <v/>
      </c>
      <c r="AC87" s="903" t="n">
        <f aca="false">IF(ISERROR($D87/12),"",$D87/12)</f>
        <v>0</v>
      </c>
      <c r="AD87" s="920"/>
      <c r="AE87" s="912" t="str">
        <f aca="false">IF(ISERROR(AD87/AC87),"",AD87/AC87)</f>
        <v/>
      </c>
      <c r="AF87" s="906" t="n">
        <f aca="false">IF(ISERROR($D87/12),"",$D87/12)</f>
        <v>0</v>
      </c>
      <c r="AG87" s="985"/>
      <c r="AH87" s="912" t="str">
        <f aca="false">IF(ISERROR(AG87/AF87),"",AG87/AF87)</f>
        <v/>
      </c>
      <c r="AI87" s="906" t="n">
        <f aca="false">IF(ISERROR($D87/12),"",$D87/12)</f>
        <v>0</v>
      </c>
      <c r="AJ87" s="920"/>
      <c r="AK87" s="913" t="str">
        <f aca="false">IF(ISERROR(AJ87/AI87),"",AJ87/AI87)</f>
        <v/>
      </c>
      <c r="AL87" s="915" t="n">
        <f aca="false">SUM(AC87,AF87,AI87)</f>
        <v>0</v>
      </c>
      <c r="AM87" s="920" t="n">
        <f aca="false">SUM(AD87,AG87,AJ87)</f>
        <v>0</v>
      </c>
      <c r="AN87" s="911" t="str">
        <f aca="false">IF(ISERROR(AM87/AL87),"",AM87/AL87)</f>
        <v/>
      </c>
      <c r="AO87" s="903" t="n">
        <f aca="false">IF(ISERROR($D87/12),"",$D87/12)</f>
        <v>0</v>
      </c>
      <c r="AP87" s="920"/>
      <c r="AQ87" s="912" t="str">
        <f aca="false">IF(ISERROR(AP87/AO87),"",AP87/AO87)</f>
        <v/>
      </c>
      <c r="AR87" s="906" t="n">
        <f aca="false">IF(ISERROR($D87/12),"",$D87/12)</f>
        <v>0</v>
      </c>
      <c r="AS87" s="920"/>
      <c r="AT87" s="912" t="str">
        <f aca="false">IF(ISERROR(AS87/AR87),"",AS87/AR87)</f>
        <v/>
      </c>
      <c r="AU87" s="906" t="n">
        <f aca="false">IF(ISERROR($D87/12),"",$D87/12)</f>
        <v>0</v>
      </c>
      <c r="AV87" s="985"/>
      <c r="AW87" s="913" t="str">
        <f aca="false">IF(ISERROR(AV87/AU87),"",AV87/AU87)</f>
        <v/>
      </c>
      <c r="AX87" s="909" t="n">
        <f aca="false">SUM(AO87,AR87,AU87)</f>
        <v>0</v>
      </c>
      <c r="AY87" s="920" t="n">
        <f aca="false">SUM(AP87,AS87,AV87)</f>
        <v>0</v>
      </c>
      <c r="AZ87" s="911" t="str">
        <f aca="false">IF(ISERROR(AY87/AX87),"",AY87/AX87)</f>
        <v/>
      </c>
      <c r="BA87" s="916" t="n">
        <f aca="false">D87</f>
        <v>0</v>
      </c>
      <c r="BB87" s="917" t="n">
        <f aca="false">SUM(F87,I87,L87,R87,U87,X87,AD87,AG87,AJ87,AP87,AS87,AV87)</f>
        <v>0</v>
      </c>
      <c r="BC87" s="918" t="str">
        <f aca="false">IF(ISERROR(BB87/BA87),"",BB87/BA87)</f>
        <v/>
      </c>
      <c r="BD87" s="919"/>
      <c r="BE87" s="919"/>
      <c r="BF87" s="919"/>
    </row>
    <row collapsed="false" customFormat="false" customHeight="false" hidden="false" ht="12.8" outlineLevel="0" r="88">
      <c r="A88" s="922"/>
      <c r="B88" s="953" t="str">
        <f aca="false">20_Prog_Gestion_Scios!B20</f>
        <v>Pacientes referidos a otras instituciones.</v>
      </c>
      <c r="C88" s="943" t="s">
        <v>840</v>
      </c>
      <c r="D88" s="958" t="n">
        <f aca="false">20_Prog_Gestion_Scios!D20</f>
        <v>0</v>
      </c>
      <c r="E88" s="903" t="n">
        <f aca="false">IF(ISERROR($D88/12),"",$D88/12)</f>
        <v>0</v>
      </c>
      <c r="F88" s="907"/>
      <c r="G88" s="905" t="str">
        <f aca="false">IF(ISERROR(F88/E88),"",F88/E88)</f>
        <v/>
      </c>
      <c r="H88" s="906" t="n">
        <f aca="false">IF(ISERROR($D88/12),"",$D88/12)</f>
        <v>0</v>
      </c>
      <c r="I88" s="920"/>
      <c r="J88" s="905" t="str">
        <f aca="false">IF(ISERROR(I88/H88),"",I88/H88)</f>
        <v/>
      </c>
      <c r="K88" s="906" t="n">
        <f aca="false">IF(ISERROR($D88/12),"",$D88/12)</f>
        <v>0</v>
      </c>
      <c r="L88" s="920"/>
      <c r="M88" s="908" t="str">
        <f aca="false">IF(ISERROR(L88/K88),"",L88/K88)</f>
        <v/>
      </c>
      <c r="N88" s="909" t="n">
        <f aca="false">SUM(E88,H88,K88)</f>
        <v>0</v>
      </c>
      <c r="O88" s="920" t="n">
        <f aca="false">SUM(F88,I88,L88)</f>
        <v>0</v>
      </c>
      <c r="P88" s="911" t="str">
        <f aca="false">IF(ISERROR(O88/N88),"",O88/N88)</f>
        <v/>
      </c>
      <c r="Q88" s="903" t="n">
        <f aca="false">IF(ISERROR($D88/12),"",$D88/12)</f>
        <v>0</v>
      </c>
      <c r="R88" s="920"/>
      <c r="S88" s="912" t="str">
        <f aca="false">IF(ISERROR(R88/Q88),"",R88/Q88)</f>
        <v/>
      </c>
      <c r="T88" s="906" t="n">
        <f aca="false">IF(ISERROR($D88/12),"",$D88/12)</f>
        <v>0</v>
      </c>
      <c r="U88" s="920"/>
      <c r="V88" s="912" t="str">
        <f aca="false">IF(ISERROR(U88/T88),"",U88/T88)</f>
        <v/>
      </c>
      <c r="W88" s="906" t="n">
        <f aca="false">IF(ISERROR($D88/12),"",$D88/12)</f>
        <v>0</v>
      </c>
      <c r="X88" s="920"/>
      <c r="Y88" s="913" t="str">
        <f aca="false">IF(ISERROR(X88/W88),"",X88/W88)</f>
        <v/>
      </c>
      <c r="Z88" s="909" t="n">
        <f aca="false">SUM(Q88,T88,W88)</f>
        <v>0</v>
      </c>
      <c r="AA88" s="920" t="n">
        <f aca="false">SUM(R88,U88,X88)</f>
        <v>0</v>
      </c>
      <c r="AB88" s="911" t="str">
        <f aca="false">IF(ISERROR(AA88/Z88),"",AA88/Z88)</f>
        <v/>
      </c>
      <c r="AC88" s="903" t="n">
        <f aca="false">IF(ISERROR($D88/12),"",$D88/12)</f>
        <v>0</v>
      </c>
      <c r="AD88" s="920"/>
      <c r="AE88" s="912" t="str">
        <f aca="false">IF(ISERROR(AD88/AC88),"",AD88/AC88)</f>
        <v/>
      </c>
      <c r="AF88" s="906" t="n">
        <f aca="false">IF(ISERROR($D88/12),"",$D88/12)</f>
        <v>0</v>
      </c>
      <c r="AG88" s="985"/>
      <c r="AH88" s="912" t="str">
        <f aca="false">IF(ISERROR(AG88/AF88),"",AG88/AF88)</f>
        <v/>
      </c>
      <c r="AI88" s="906" t="n">
        <f aca="false">IF(ISERROR($D88/12),"",$D88/12)</f>
        <v>0</v>
      </c>
      <c r="AJ88" s="920"/>
      <c r="AK88" s="913" t="str">
        <f aca="false">IF(ISERROR(AJ88/AI88),"",AJ88/AI88)</f>
        <v/>
      </c>
      <c r="AL88" s="915" t="n">
        <f aca="false">SUM(AC88,AF88,AI88)</f>
        <v>0</v>
      </c>
      <c r="AM88" s="920" t="n">
        <f aca="false">SUM(AD88,AG88,AJ88)</f>
        <v>0</v>
      </c>
      <c r="AN88" s="911" t="str">
        <f aca="false">IF(ISERROR(AM88/AL88),"",AM88/AL88)</f>
        <v/>
      </c>
      <c r="AO88" s="903" t="n">
        <f aca="false">IF(ISERROR($D88/12),"",$D88/12)</f>
        <v>0</v>
      </c>
      <c r="AP88" s="920"/>
      <c r="AQ88" s="912" t="str">
        <f aca="false">IF(ISERROR(AP88/AO88),"",AP88/AO88)</f>
        <v/>
      </c>
      <c r="AR88" s="906" t="n">
        <f aca="false">IF(ISERROR($D88/12),"",$D88/12)</f>
        <v>0</v>
      </c>
      <c r="AS88" s="920"/>
      <c r="AT88" s="912" t="str">
        <f aca="false">IF(ISERROR(AS88/AR88),"",AS88/AR88)</f>
        <v/>
      </c>
      <c r="AU88" s="906" t="n">
        <f aca="false">IF(ISERROR($D88/12),"",$D88/12)</f>
        <v>0</v>
      </c>
      <c r="AV88" s="985"/>
      <c r="AW88" s="913" t="str">
        <f aca="false">IF(ISERROR(AV88/AU88),"",AV88/AU88)</f>
        <v/>
      </c>
      <c r="AX88" s="909" t="n">
        <f aca="false">SUM(AO88,AR88,AU88)</f>
        <v>0</v>
      </c>
      <c r="AY88" s="920" t="n">
        <f aca="false">SUM(AP88,AS88,AV88)</f>
        <v>0</v>
      </c>
      <c r="AZ88" s="911" t="str">
        <f aca="false">IF(ISERROR(AY88/AX88),"",AY88/AX88)</f>
        <v/>
      </c>
      <c r="BA88" s="916" t="n">
        <f aca="false">D88</f>
        <v>0</v>
      </c>
      <c r="BB88" s="917" t="n">
        <f aca="false">SUM(F88,I88,L88,R88,U88,X88,AD88,AG88,AJ88,AP88,AS88,AV88)</f>
        <v>0</v>
      </c>
      <c r="BC88" s="918" t="str">
        <f aca="false">IF(ISERROR(BB88/BA88),"",BB88/BA88)</f>
        <v/>
      </c>
      <c r="BD88" s="919"/>
      <c r="BE88" s="919"/>
      <c r="BF88" s="919"/>
    </row>
    <row collapsed="false" customFormat="false" customHeight="false" hidden="false" ht="12.8" outlineLevel="0" r="89">
      <c r="A89" s="922"/>
      <c r="B89" s="953" t="str">
        <f aca="false">20_Prog_Gestion_Scios!B25</f>
        <v>Nivel de Abastecimiento de Medicamentos (%)</v>
      </c>
      <c r="C89" s="923" t="s">
        <v>644</v>
      </c>
      <c r="D89" s="980" t="inlineStr">
        <f aca="false">20_Prog_Gestion_Scios!D25</f>
        <is>
          <t/>
        </is>
      </c>
      <c r="E89" s="981" t="inlineStr">
        <f aca="false">$D89</f>
        <is>
          <t/>
        </is>
      </c>
      <c r="F89" s="986" t="n">
        <v>0.71</v>
      </c>
      <c r="G89" s="961" t="n">
        <f aca="false">IF(ISERROR(F89/E89),"",F89/E89)</f>
        <v>1.09230769230769</v>
      </c>
      <c r="H89" s="961" t="inlineStr">
        <f aca="false">$D89</f>
        <is>
          <t/>
        </is>
      </c>
      <c r="I89" s="986" t="n">
        <v>0.65</v>
      </c>
      <c r="J89" s="961" t="n">
        <f aca="false">IF(ISERROR(I89/H89),"",I89/H89)</f>
        <v>1</v>
      </c>
      <c r="K89" s="961" t="inlineStr">
        <f aca="false">$D89</f>
        <is>
          <t/>
        </is>
      </c>
      <c r="L89" s="986" t="n">
        <v>0.62</v>
      </c>
      <c r="M89" s="963" t="n">
        <f aca="false">IF(ISERROR(L89/K89),"",L89/K89)</f>
        <v>0.953846153846154</v>
      </c>
      <c r="N89" s="983" t="inlineStr">
        <f aca="false">$D89</f>
        <is>
          <t/>
        </is>
      </c>
      <c r="O89" s="961" t="inlineStr">
        <f aca="false">IF(ISERROR(AVERAGE(F89,I89,L89)),"",AVERAGE(F89,I89,L89))</f>
        <is>
          <t/>
        </is>
      </c>
      <c r="P89" s="966" t="n">
        <f aca="false">IF(ISERROR(O89/N89),"",O89/N89)</f>
        <v>1.01538461538462</v>
      </c>
      <c r="Q89" s="981" t="inlineStr">
        <f aca="false">$D89</f>
        <is>
          <t/>
        </is>
      </c>
      <c r="R89" s="986" t="n">
        <v>0.65</v>
      </c>
      <c r="S89" s="961"/>
      <c r="T89" s="961" t="inlineStr">
        <f aca="false">$D89</f>
        <is>
          <t/>
        </is>
      </c>
      <c r="U89" s="986"/>
      <c r="V89" s="961" t="n">
        <f aca="false">IF(ISERROR(U89/T89),"",U89/T89)</f>
        <v>0</v>
      </c>
      <c r="W89" s="961" t="inlineStr">
        <f aca="false">$D89</f>
        <is>
          <t/>
        </is>
      </c>
      <c r="X89" s="986"/>
      <c r="Y89" s="963" t="n">
        <f aca="false">IF(ISERROR(X89/W89),"",X89/W89)</f>
        <v>0</v>
      </c>
      <c r="Z89" s="983" t="inlineStr">
        <f aca="false">$D89</f>
        <is>
          <t/>
        </is>
      </c>
      <c r="AA89" s="961" t="inlineStr">
        <f aca="false">IF(ISERROR(AVERAGE(R89,U89,X89)),"",AVERAGE(R89,U89,X89))</f>
        <is>
          <t/>
        </is>
      </c>
      <c r="AB89" s="966" t="n">
        <f aca="false">IF(ISERROR(AA89/Z89),"",AA89/Z89)</f>
        <v>1</v>
      </c>
      <c r="AC89" s="981" t="inlineStr">
        <f aca="false">$D89</f>
        <is>
          <t/>
        </is>
      </c>
      <c r="AD89" s="986"/>
      <c r="AE89" s="961" t="n">
        <f aca="false">IF(ISERROR(AD89/AC89),"",AD89/AC89)</f>
        <v>0</v>
      </c>
      <c r="AF89" s="961" t="inlineStr">
        <f aca="false">$D89</f>
        <is>
          <t/>
        </is>
      </c>
      <c r="AG89" s="986"/>
      <c r="AH89" s="961" t="n">
        <f aca="false">IF(ISERROR(AG89/AF89),"",AG89/AF89)</f>
        <v>0</v>
      </c>
      <c r="AI89" s="961" t="inlineStr">
        <f aca="false">$D89</f>
        <is>
          <t/>
        </is>
      </c>
      <c r="AJ89" s="986"/>
      <c r="AK89" s="963" t="n">
        <f aca="false">IF(ISERROR(AJ89/AI89),"",AJ89/AI89)</f>
        <v>0</v>
      </c>
      <c r="AL89" s="983" t="inlineStr">
        <f aca="false">$D89</f>
        <is>
          <t/>
        </is>
      </c>
      <c r="AM89" s="961" t="str">
        <f aca="false">IF(ISERROR(AVERAGE(AD89,AG89,AJ89)),"",AVERAGE(AD89,AG89,AJ89))</f>
        <v/>
      </c>
      <c r="AN89" s="966" t="str">
        <f aca="false">IF(ISERROR(AM89/AL89),"",AM89/AL89)</f>
        <v/>
      </c>
      <c r="AO89" s="981" t="inlineStr">
        <f aca="false">$D89</f>
        <is>
          <t/>
        </is>
      </c>
      <c r="AP89" s="986"/>
      <c r="AQ89" s="961" t="n">
        <f aca="false">IF(ISERROR(AP89/AO89),"",AP89/AO89)</f>
        <v>0</v>
      </c>
      <c r="AR89" s="961" t="inlineStr">
        <f aca="false">$D89</f>
        <is>
          <t/>
        </is>
      </c>
      <c r="AS89" s="986"/>
      <c r="AT89" s="961" t="n">
        <f aca="false">IF(ISERROR(AS89/AR89),"",AS89/AR89)</f>
        <v>0</v>
      </c>
      <c r="AU89" s="961" t="inlineStr">
        <f aca="false">$D89</f>
        <is>
          <t/>
        </is>
      </c>
      <c r="AV89" s="986"/>
      <c r="AW89" s="963" t="n">
        <f aca="false">IF(ISERROR(AV89/AU89),"",AV89/AU89)</f>
        <v>0</v>
      </c>
      <c r="AX89" s="983" t="inlineStr">
        <f aca="false">$D89</f>
        <is>
          <t/>
        </is>
      </c>
      <c r="AY89" s="961" t="str">
        <f aca="false">IF(ISERROR(AVERAGE(AP89,AS89,AV89)),"",AVERAGE(AP89,AS89,AV89))</f>
        <v/>
      </c>
      <c r="AZ89" s="966" t="str">
        <f aca="false">IF(ISERROR(AY89/AX89),"",AY89/AX89)</f>
        <v/>
      </c>
      <c r="BA89" s="987" t="inlineStr">
        <f aca="false">$D89</f>
        <is>
          <t/>
        </is>
      </c>
      <c r="BB89" s="988" t="inlineStr">
        <f aca="false">IF(ISERROR(AVERAGE(F89,I89,L89,R89,U89,X89,AD89,AG89,AJ89,AP89,AS89,AV89)),"",AVERAGE(F89,I89,L89,R89,U89,X89,AD89,AG89,AJ89,AP89,AS89,AV89))</f>
        <is>
          <t/>
        </is>
      </c>
      <c r="BC89" s="969" t="n">
        <f aca="false">IF(ISERROR(BB89/BA89),"",BB89/BA89)</f>
        <v>1.01153846153846</v>
      </c>
      <c r="BD89" s="919"/>
      <c r="BE89" s="919"/>
      <c r="BF89" s="919"/>
    </row>
    <row collapsed="false" customFormat="false" customHeight="true" hidden="false" ht="25.5" outlineLevel="0" r="90">
      <c r="A90" s="922"/>
      <c r="B90" s="953" t="str">
        <f aca="false">20_Prog_Gestion_Scios!B26</f>
        <v>% Ejecución del Presupuesto de funcionamiento</v>
      </c>
      <c r="C90" s="989"/>
      <c r="D90" s="972"/>
      <c r="E90" s="948" t="s">
        <v>801</v>
      </c>
      <c r="F90" s="948"/>
      <c r="G90" s="948"/>
      <c r="H90" s="949" t="s">
        <v>802</v>
      </c>
      <c r="I90" s="949"/>
      <c r="J90" s="949"/>
      <c r="K90" s="950" t="s">
        <v>803</v>
      </c>
      <c r="L90" s="950"/>
      <c r="M90" s="950"/>
      <c r="N90" s="951" t="s">
        <v>804</v>
      </c>
      <c r="O90" s="951"/>
      <c r="P90" s="951"/>
      <c r="Q90" s="948" t="s">
        <v>805</v>
      </c>
      <c r="R90" s="948"/>
      <c r="S90" s="948"/>
      <c r="T90" s="949" t="s">
        <v>806</v>
      </c>
      <c r="U90" s="949"/>
      <c r="V90" s="949"/>
      <c r="W90" s="950" t="s">
        <v>807</v>
      </c>
      <c r="X90" s="950"/>
      <c r="Y90" s="950"/>
      <c r="Z90" s="951" t="s">
        <v>808</v>
      </c>
      <c r="AA90" s="951"/>
      <c r="AB90" s="951"/>
      <c r="AC90" s="948" t="s">
        <v>809</v>
      </c>
      <c r="AD90" s="948"/>
      <c r="AE90" s="948"/>
      <c r="AF90" s="949" t="s">
        <v>810</v>
      </c>
      <c r="AG90" s="949"/>
      <c r="AH90" s="949"/>
      <c r="AI90" s="950" t="s">
        <v>811</v>
      </c>
      <c r="AJ90" s="950"/>
      <c r="AK90" s="950"/>
      <c r="AL90" s="951" t="s">
        <v>812</v>
      </c>
      <c r="AM90" s="951"/>
      <c r="AN90" s="951"/>
      <c r="AO90" s="948" t="s">
        <v>813</v>
      </c>
      <c r="AP90" s="948"/>
      <c r="AQ90" s="948"/>
      <c r="AR90" s="949" t="s">
        <v>814</v>
      </c>
      <c r="AS90" s="949"/>
      <c r="AT90" s="949"/>
      <c r="AU90" s="950" t="s">
        <v>815</v>
      </c>
      <c r="AV90" s="950"/>
      <c r="AW90" s="950"/>
      <c r="AX90" s="951" t="s">
        <v>816</v>
      </c>
      <c r="AY90" s="951"/>
      <c r="AZ90" s="951"/>
      <c r="BA90" s="952" t="s">
        <v>817</v>
      </c>
      <c r="BB90" s="952"/>
      <c r="BC90" s="952"/>
      <c r="BD90" s="919"/>
      <c r="BE90" s="919"/>
      <c r="BF90" s="919"/>
    </row>
    <row collapsed="false" customFormat="false" customHeight="false" hidden="false" ht="12.8" outlineLevel="0" r="91">
      <c r="A91" s="922"/>
      <c r="B91" s="990" t="str">
        <f aca="false">20_Prog_Gestion_Scios!B27</f>
        <v>Rubros principales</v>
      </c>
      <c r="C91" s="989"/>
      <c r="D91" s="972"/>
      <c r="E91" s="948" t="s">
        <v>818</v>
      </c>
      <c r="F91" s="949" t="s">
        <v>819</v>
      </c>
      <c r="G91" s="949" t="s">
        <v>820</v>
      </c>
      <c r="H91" s="949" t="s">
        <v>818</v>
      </c>
      <c r="I91" s="949" t="s">
        <v>819</v>
      </c>
      <c r="J91" s="949" t="s">
        <v>820</v>
      </c>
      <c r="K91" s="949" t="s">
        <v>818</v>
      </c>
      <c r="L91" s="949" t="s">
        <v>819</v>
      </c>
      <c r="M91" s="950" t="s">
        <v>820</v>
      </c>
      <c r="N91" s="954" t="s">
        <v>818</v>
      </c>
      <c r="O91" s="949" t="s">
        <v>819</v>
      </c>
      <c r="P91" s="955" t="s">
        <v>820</v>
      </c>
      <c r="Q91" s="948" t="s">
        <v>818</v>
      </c>
      <c r="R91" s="949" t="s">
        <v>819</v>
      </c>
      <c r="S91" s="949" t="s">
        <v>820</v>
      </c>
      <c r="T91" s="949" t="s">
        <v>818</v>
      </c>
      <c r="U91" s="949" t="s">
        <v>819</v>
      </c>
      <c r="V91" s="949" t="s">
        <v>820</v>
      </c>
      <c r="W91" s="949" t="s">
        <v>818</v>
      </c>
      <c r="X91" s="949" t="s">
        <v>819</v>
      </c>
      <c r="Y91" s="950" t="s">
        <v>820</v>
      </c>
      <c r="Z91" s="954" t="s">
        <v>818</v>
      </c>
      <c r="AA91" s="949" t="s">
        <v>819</v>
      </c>
      <c r="AB91" s="955" t="s">
        <v>820</v>
      </c>
      <c r="AC91" s="948" t="s">
        <v>818</v>
      </c>
      <c r="AD91" s="949" t="s">
        <v>819</v>
      </c>
      <c r="AE91" s="949" t="s">
        <v>820</v>
      </c>
      <c r="AF91" s="949" t="s">
        <v>818</v>
      </c>
      <c r="AG91" s="949" t="s">
        <v>819</v>
      </c>
      <c r="AH91" s="949" t="s">
        <v>820</v>
      </c>
      <c r="AI91" s="949" t="s">
        <v>818</v>
      </c>
      <c r="AJ91" s="949" t="s">
        <v>819</v>
      </c>
      <c r="AK91" s="950" t="s">
        <v>820</v>
      </c>
      <c r="AL91" s="954" t="s">
        <v>818</v>
      </c>
      <c r="AM91" s="949" t="s">
        <v>819</v>
      </c>
      <c r="AN91" s="955" t="s">
        <v>820</v>
      </c>
      <c r="AO91" s="948" t="s">
        <v>818</v>
      </c>
      <c r="AP91" s="949" t="s">
        <v>819</v>
      </c>
      <c r="AQ91" s="949" t="s">
        <v>820</v>
      </c>
      <c r="AR91" s="949" t="s">
        <v>818</v>
      </c>
      <c r="AS91" s="949" t="s">
        <v>819</v>
      </c>
      <c r="AT91" s="949" t="s">
        <v>820</v>
      </c>
      <c r="AU91" s="949" t="s">
        <v>818</v>
      </c>
      <c r="AV91" s="949" t="s">
        <v>819</v>
      </c>
      <c r="AW91" s="950" t="s">
        <v>820</v>
      </c>
      <c r="AX91" s="954" t="s">
        <v>818</v>
      </c>
      <c r="AY91" s="949" t="s">
        <v>819</v>
      </c>
      <c r="AZ91" s="955" t="s">
        <v>820</v>
      </c>
      <c r="BA91" s="948" t="s">
        <v>818</v>
      </c>
      <c r="BB91" s="949" t="s">
        <v>819</v>
      </c>
      <c r="BC91" s="956" t="s">
        <v>820</v>
      </c>
      <c r="BD91" s="919"/>
      <c r="BE91" s="919"/>
      <c r="BF91" s="919"/>
    </row>
    <row collapsed="false" customFormat="false" customHeight="false" hidden="false" ht="12.8" outlineLevel="0" r="92">
      <c r="A92" s="922"/>
      <c r="B92" s="991" t="str">
        <f aca="false">20_Prog_Gestion_Scios!B28</f>
        <v>Remuneraciones</v>
      </c>
      <c r="C92" s="992" t="s">
        <v>841</v>
      </c>
      <c r="D92" s="993" t="n">
        <v>16436795</v>
      </c>
      <c r="E92" s="994" t="n">
        <v>1376444</v>
      </c>
      <c r="F92" s="995" t="n">
        <f aca="false">1322857.74+40745.79</f>
        <v>1363603.53</v>
      </c>
      <c r="G92" s="996" t="n">
        <f aca="false">IF(ISERROR(F92/E92),"",F92/E92)</f>
        <v>0.990671273222885</v>
      </c>
      <c r="H92" s="997" t="n">
        <v>1376444</v>
      </c>
      <c r="I92" s="997" t="n">
        <f aca="false">1315307.89+32224.57</f>
        <v>1347532.46</v>
      </c>
      <c r="J92" s="996" t="n">
        <f aca="false">IF(ISERROR(I92/H92),"",I92/H92)</f>
        <v>0.978995484015332</v>
      </c>
      <c r="K92" s="997" t="n">
        <v>1376444</v>
      </c>
      <c r="L92" s="997" t="n">
        <f aca="false">1314599.9+46625.65</f>
        <v>1361225.55</v>
      </c>
      <c r="M92" s="998" t="n">
        <f aca="false">IF(ISERROR(L92/K92),"",L92/K92)</f>
        <v>0.988943647543961</v>
      </c>
      <c r="N92" s="999" t="n">
        <f aca="false">SUM(E92+H92+K92)</f>
        <v>4129332</v>
      </c>
      <c r="O92" s="1000" t="n">
        <f aca="false">SUM(F92+I92+L92)</f>
        <v>4072361.54</v>
      </c>
      <c r="P92" s="1001" t="n">
        <f aca="false">IF(ISERROR(O92/N92),"",O92/N92)</f>
        <v>0.986203468260726</v>
      </c>
      <c r="Q92" s="997" t="n">
        <v>1128971</v>
      </c>
      <c r="R92" s="997" t="n">
        <f aca="false">1316772.49+39143.87</f>
        <v>1355916.36</v>
      </c>
      <c r="S92" s="996" t="n">
        <f aca="false">IF(ISERROR(R92/Q92),"",R92/Q92)</f>
        <v>1.20101965418067</v>
      </c>
      <c r="T92" s="997" t="n">
        <v>1129385</v>
      </c>
      <c r="U92" s="997" t="n">
        <f aca="false">1314120.27+42925.1</f>
        <v>1357045.37</v>
      </c>
      <c r="V92" s="996" t="n">
        <f aca="false">IF(ISERROR(U92/T92),"",U92/T92)</f>
        <v>1.20157906294134</v>
      </c>
      <c r="W92" s="997" t="n">
        <v>1129385</v>
      </c>
      <c r="X92" s="997" t="n">
        <f aca="false">1304256.85+54283.52</f>
        <v>1358540.37</v>
      </c>
      <c r="Y92" s="998" t="n">
        <f aca="false">IF(ISERROR(X92/W92),"",X92/W92)</f>
        <v>1.20290279222763</v>
      </c>
      <c r="Z92" s="999" t="n">
        <f aca="false">SUM(Q92+T92+W92)</f>
        <v>3387741</v>
      </c>
      <c r="AA92" s="1000" t="n">
        <f aca="false">SUM(R92+U92+X92)</f>
        <v>4071502.1</v>
      </c>
      <c r="AB92" s="1001" t="n">
        <f aca="false">IF(ISERROR(AA92/Z92),"",AA92/Z92)</f>
        <v>1.20183393594729</v>
      </c>
      <c r="AC92" s="997" t="n">
        <v>1129385</v>
      </c>
      <c r="AD92" s="1002"/>
      <c r="AE92" s="996" t="n">
        <f aca="false">IF(ISERROR(AD92/AC92),"",AD92/AC92)</f>
        <v>0</v>
      </c>
      <c r="AF92" s="997" t="n">
        <v>1129385</v>
      </c>
      <c r="AG92" s="1002"/>
      <c r="AH92" s="996" t="n">
        <f aca="false">IF(ISERROR(AG92/AF92),"",AG92/AF92)</f>
        <v>0</v>
      </c>
      <c r="AI92" s="997" t="n">
        <v>1129385</v>
      </c>
      <c r="AJ92" s="1002"/>
      <c r="AK92" s="998" t="n">
        <f aca="false">IF(ISERROR(AJ92/AI92),"",AJ92/AI92)</f>
        <v>0</v>
      </c>
      <c r="AL92" s="999" t="n">
        <f aca="false">SUM(AC92+AF92+AI92)</f>
        <v>3388155</v>
      </c>
      <c r="AM92" s="1000" t="n">
        <f aca="false">SUM(AD92+AG92+AJ92)</f>
        <v>0</v>
      </c>
      <c r="AN92" s="1001" t="n">
        <f aca="false">IF(ISERROR(AM92/AL92),"",AM92/AL92)</f>
        <v>0</v>
      </c>
      <c r="AO92" s="997" t="n">
        <v>1129385</v>
      </c>
      <c r="AP92" s="1002"/>
      <c r="AQ92" s="996" t="n">
        <f aca="false">IF(ISERROR(AP92/AO92),"",AP92/AO92)</f>
        <v>0</v>
      </c>
      <c r="AR92" s="997" t="n">
        <v>1129385</v>
      </c>
      <c r="AS92" s="1002"/>
      <c r="AT92" s="996" t="n">
        <f aca="false">IF(ISERROR(AS92/AR92),"",AS92/AR92)</f>
        <v>0</v>
      </c>
      <c r="AU92" s="997" t="n">
        <v>1482790</v>
      </c>
      <c r="AV92" s="1002"/>
      <c r="AW92" s="998" t="n">
        <f aca="false">IF(ISERROR(AV92/AU92),"",AV92/AU92)</f>
        <v>0</v>
      </c>
      <c r="AX92" s="999" t="n">
        <f aca="false">SUM(AO92+AR92+AU92)</f>
        <v>3741560</v>
      </c>
      <c r="AY92" s="1003" t="n">
        <f aca="false">SUM(AP92+AS92+AV92)</f>
        <v>0</v>
      </c>
      <c r="AZ92" s="1001" t="n">
        <f aca="false">IF(ISERROR(AY92/AX92),"",AY92/AX92)</f>
        <v>0</v>
      </c>
      <c r="BA92" s="1004" t="n">
        <f aca="false">SUM(E92,H92,K92,Q92,T92,W92,AC92,AF92,AI92,AO92,AR92,AU92)</f>
        <v>14646788</v>
      </c>
      <c r="BB92" s="1005" t="n">
        <f aca="false">SUM(F92,I92,L92,R92,U92,X92,AD92,AG92,AJ92,AP92,AS92,AV92)</f>
        <v>8143863.64</v>
      </c>
      <c r="BC92" s="1006" t="n">
        <f aca="false">IF(ISERROR(BB92/BA92),"",BB92/BA92)</f>
        <v>0.556017035270805</v>
      </c>
      <c r="BD92" s="919"/>
      <c r="BE92" s="919"/>
      <c r="BF92" s="919"/>
    </row>
    <row collapsed="false" customFormat="false" customHeight="false" hidden="false" ht="12.8" outlineLevel="0" r="93">
      <c r="A93" s="922"/>
      <c r="B93" s="991" t="str">
        <f aca="false">20_Prog_Gestion_Scios!B29</f>
        <v>Medicamentos</v>
      </c>
      <c r="C93" s="992" t="s">
        <v>841</v>
      </c>
      <c r="D93" s="993" t="n">
        <v>2419440</v>
      </c>
      <c r="E93" s="994" t="n">
        <v>2281940</v>
      </c>
      <c r="F93" s="995" t="n">
        <v>0</v>
      </c>
      <c r="G93" s="996" t="n">
        <f aca="false">IF(ISERROR(F93/E93),"",F93/E93)</f>
        <v>0</v>
      </c>
      <c r="H93" s="997" t="n">
        <v>12500</v>
      </c>
      <c r="I93" s="997" t="n">
        <f aca="false">3712.5+9084.31</f>
        <v>12796.81</v>
      </c>
      <c r="J93" s="996" t="n">
        <f aca="false">IF(ISERROR(I93/H93),"",I93/H93)</f>
        <v>1.0237448</v>
      </c>
      <c r="K93" s="997" t="n">
        <v>12500</v>
      </c>
      <c r="L93" s="997"/>
      <c r="M93" s="998" t="n">
        <f aca="false">IF(ISERROR(L93/K93),"",L93/K93)</f>
        <v>0</v>
      </c>
      <c r="N93" s="999" t="n">
        <f aca="false">SUM(E93+H93+K93)</f>
        <v>2306940</v>
      </c>
      <c r="O93" s="1000" t="n">
        <f aca="false">SUM(F93+I93+L93)</f>
        <v>12796.81</v>
      </c>
      <c r="P93" s="1001" t="n">
        <f aca="false">IF(ISERROR(O93/N93),"",O93/N93)</f>
        <v>0.00554709268554882</v>
      </c>
      <c r="Q93" s="997" t="n">
        <v>12500</v>
      </c>
      <c r="R93" s="997" t="n">
        <f aca="false">44490.74+1109.7</f>
        <v>45600.44</v>
      </c>
      <c r="S93" s="996" t="n">
        <f aca="false">IF(ISERROR(R93/Q93),"",R93/Q93)</f>
        <v>3.6480352</v>
      </c>
      <c r="T93" s="997" t="n">
        <v>12500</v>
      </c>
      <c r="U93" s="997" t="n">
        <f aca="false">22660.6+14911.36</f>
        <v>37571.96</v>
      </c>
      <c r="V93" s="996" t="n">
        <f aca="false">IF(ISERROR(U93/T93),"",U93/T93)</f>
        <v>3.0057568</v>
      </c>
      <c r="W93" s="997" t="n">
        <v>12500</v>
      </c>
      <c r="X93" s="997" t="n">
        <f aca="false">18486.98+18689.78</f>
        <v>37176.76</v>
      </c>
      <c r="Y93" s="998" t="n">
        <f aca="false">IF(ISERROR(X93/W93),"",X93/W93)</f>
        <v>2.9741408</v>
      </c>
      <c r="Z93" s="999" t="n">
        <f aca="false">SUM(Q93+T93+W93)</f>
        <v>37500</v>
      </c>
      <c r="AA93" s="1000" t="n">
        <f aca="false">SUM(R93+U93+X93)</f>
        <v>120349.16</v>
      </c>
      <c r="AB93" s="1001" t="n">
        <f aca="false">IF(ISERROR(AA93/Z93),"",AA93/Z93)</f>
        <v>3.20931093333333</v>
      </c>
      <c r="AC93" s="997" t="n">
        <v>12500</v>
      </c>
      <c r="AD93" s="1002"/>
      <c r="AE93" s="996" t="n">
        <f aca="false">IF(ISERROR(AD93/AC93),"",AD93/AC93)</f>
        <v>0</v>
      </c>
      <c r="AF93" s="997" t="n">
        <v>12500</v>
      </c>
      <c r="AG93" s="1002"/>
      <c r="AH93" s="996" t="n">
        <f aca="false">IF(ISERROR(AG93/AF93),"",AG93/AF93)</f>
        <v>0</v>
      </c>
      <c r="AI93" s="997" t="n">
        <v>12500</v>
      </c>
      <c r="AJ93" s="1002"/>
      <c r="AK93" s="998" t="n">
        <f aca="false">IF(ISERROR(AJ93/AI93),"",AJ93/AI93)</f>
        <v>0</v>
      </c>
      <c r="AL93" s="999" t="n">
        <f aca="false">SUM(AC93+AF93+AI93)</f>
        <v>37500</v>
      </c>
      <c r="AM93" s="1000" t="n">
        <f aca="false">SUM(AD93+AG93+AJ93)</f>
        <v>0</v>
      </c>
      <c r="AN93" s="1001" t="n">
        <f aca="false">IF(ISERROR(AM93/AL93),"",AM93/AL93)</f>
        <v>0</v>
      </c>
      <c r="AO93" s="997" t="n">
        <v>12500</v>
      </c>
      <c r="AP93" s="1002"/>
      <c r="AQ93" s="996" t="n">
        <f aca="false">IF(ISERROR(AP93/AO93),"",AP93/AO93)</f>
        <v>0</v>
      </c>
      <c r="AR93" s="997" t="n">
        <v>12500</v>
      </c>
      <c r="AS93" s="1002"/>
      <c r="AT93" s="996" t="n">
        <f aca="false">IF(ISERROR(AS93/AR93),"",AS93/AR93)</f>
        <v>0</v>
      </c>
      <c r="AU93" s="997" t="n">
        <v>9850</v>
      </c>
      <c r="AV93" s="1002"/>
      <c r="AW93" s="998" t="n">
        <f aca="false">IF(ISERROR(AV93/AU93),"",AV93/AU93)</f>
        <v>0</v>
      </c>
      <c r="AX93" s="999" t="n">
        <f aca="false">SUM(AO93+AR93+AU93)</f>
        <v>34850</v>
      </c>
      <c r="AY93" s="1003" t="n">
        <f aca="false">SUM(AP93+AS93+AV93)</f>
        <v>0</v>
      </c>
      <c r="AZ93" s="1001" t="n">
        <f aca="false">IF(ISERROR(AY93/AX93),"",AY93/AX93)</f>
        <v>0</v>
      </c>
      <c r="BA93" s="1004" t="n">
        <f aca="false">SUM(E93,H93,K93,Q93,T93,W93,AC93,AF93,AI93,AO93,AR93,AU93)</f>
        <v>2416790</v>
      </c>
      <c r="BB93" s="1005" t="n">
        <f aca="false">SUM(F93,I93,L93,R93,U93,X93,AD93,AG93,AJ93,AP93,AS93,AV93)</f>
        <v>133145.97</v>
      </c>
      <c r="BC93" s="1006" t="n">
        <f aca="false">IF(ISERROR(BB93/BA93),"",BB93/BA93)</f>
        <v>0.0550920725425047</v>
      </c>
      <c r="BD93" s="919"/>
      <c r="BE93" s="919"/>
      <c r="BF93" s="919"/>
    </row>
    <row collapsed="false" customFormat="false" customHeight="false" hidden="false" ht="12.8" outlineLevel="0" r="94">
      <c r="A94" s="922"/>
      <c r="B94" s="991" t="str">
        <f aca="false">20_Prog_Gestion_Scios!B30</f>
        <v>Insumos Médico Quirúrgicos</v>
      </c>
      <c r="C94" s="992" t="s">
        <v>841</v>
      </c>
      <c r="D94" s="993" t="n">
        <v>1098790</v>
      </c>
      <c r="E94" s="994" t="n">
        <v>19516</v>
      </c>
      <c r="F94" s="995" t="n">
        <v>1572.5</v>
      </c>
      <c r="G94" s="996" t="n">
        <f aca="false">IF(ISERROR(F94/E94),"",F94/E94)</f>
        <v>0.0805749128919861</v>
      </c>
      <c r="H94" s="997" t="n">
        <v>19516</v>
      </c>
      <c r="I94" s="997" t="n">
        <f aca="false">264764.1+72383.83</f>
        <v>337147.93</v>
      </c>
      <c r="J94" s="996" t="n">
        <f aca="false">IF(ISERROR(I94/H94),"",I94/H94)</f>
        <v>17.275462697274</v>
      </c>
      <c r="K94" s="997" t="n">
        <v>39516</v>
      </c>
      <c r="L94" s="997" t="n">
        <v>184706.11</v>
      </c>
      <c r="M94" s="998" t="n">
        <f aca="false">IF(ISERROR(L94/K94),"",L94/K94)</f>
        <v>4.67421069946351</v>
      </c>
      <c r="N94" s="999" t="n">
        <f aca="false">SUM(E94+H94+K94)</f>
        <v>78548</v>
      </c>
      <c r="O94" s="1000" t="n">
        <f aca="false">SUM(F94+I94+L94)</f>
        <v>523426.54</v>
      </c>
      <c r="P94" s="1001" t="n">
        <f aca="false">IF(ISERROR(O94/N94),"",O94/N94)</f>
        <v>6.66377934511382</v>
      </c>
      <c r="Q94" s="997" t="n">
        <v>274205.02</v>
      </c>
      <c r="R94" s="997" t="n">
        <v>410767.84</v>
      </c>
      <c r="S94" s="996" t="n">
        <f aca="false">IF(ISERROR(R94/Q94),"",R94/Q94)</f>
        <v>1.49803180116834</v>
      </c>
      <c r="T94" s="997" t="n">
        <v>101516</v>
      </c>
      <c r="U94" s="997" t="n">
        <f aca="false">18505.16+2511</f>
        <v>21016.16</v>
      </c>
      <c r="V94" s="996" t="n">
        <f aca="false">IF(ISERROR(U94/T94),"",U94/T94)</f>
        <v>0.207023129358919</v>
      </c>
      <c r="W94" s="997" t="n">
        <v>430232</v>
      </c>
      <c r="X94" s="997" t="n">
        <f aca="false">171966.66+37452.49</f>
        <v>209419.15</v>
      </c>
      <c r="Y94" s="998" t="n">
        <f aca="false">IF(ISERROR(X94/W94),"",X94/W94)</f>
        <v>0.486758655795013</v>
      </c>
      <c r="Z94" s="999" t="n">
        <f aca="false">SUM(Q94+T94+W94)</f>
        <v>805953.02</v>
      </c>
      <c r="AA94" s="1000" t="n">
        <f aca="false">SUM(R94+U94+X94)</f>
        <v>641203.15</v>
      </c>
      <c r="AB94" s="1001" t="n">
        <f aca="false">IF(ISERROR(AA94/Z94),"",AA94/Z94)</f>
        <v>0.795583779808903</v>
      </c>
      <c r="AC94" s="997" t="n">
        <v>101390</v>
      </c>
      <c r="AD94" s="1002"/>
      <c r="AE94" s="996" t="n">
        <f aca="false">IF(ISERROR(AD94/AC94),"",AD94/AC94)</f>
        <v>0</v>
      </c>
      <c r="AF94" s="997" t="n">
        <v>19516</v>
      </c>
      <c r="AG94" s="1002"/>
      <c r="AH94" s="996" t="n">
        <f aca="false">IF(ISERROR(AG94/AF94),"",AG94/AF94)</f>
        <v>0</v>
      </c>
      <c r="AI94" s="997" t="n">
        <v>99516</v>
      </c>
      <c r="AJ94" s="1002"/>
      <c r="AK94" s="998" t="n">
        <f aca="false">IF(ISERROR(AJ94/AI94),"",AJ94/AI94)</f>
        <v>0</v>
      </c>
      <c r="AL94" s="999" t="n">
        <f aca="false">SUM(AC94+AF94+AI94)</f>
        <v>220422</v>
      </c>
      <c r="AM94" s="1000" t="n">
        <f aca="false">SUM(AD94+AG94+AJ94)</f>
        <v>0</v>
      </c>
      <c r="AN94" s="1001" t="n">
        <f aca="false">IF(ISERROR(AM94/AL94),"",AM94/AL94)</f>
        <v>0</v>
      </c>
      <c r="AO94" s="997" t="n">
        <v>19516</v>
      </c>
      <c r="AP94" s="1002"/>
      <c r="AQ94" s="996" t="n">
        <f aca="false">IF(ISERROR(AP94/AO94),"",AP94/AO94)</f>
        <v>0</v>
      </c>
      <c r="AR94" s="997" t="n">
        <v>19516</v>
      </c>
      <c r="AS94" s="1002"/>
      <c r="AT94" s="996" t="n">
        <f aca="false">IF(ISERROR(AS94/AR94),"",AS94/AR94)</f>
        <v>0</v>
      </c>
      <c r="AU94" s="997" t="n">
        <v>99524</v>
      </c>
      <c r="AV94" s="1002"/>
      <c r="AW94" s="998" t="n">
        <f aca="false">IF(ISERROR(AV94/AU94),"",AV94/AU94)</f>
        <v>0</v>
      </c>
      <c r="AX94" s="999" t="n">
        <f aca="false">SUM(AO94+AR94+AU94)</f>
        <v>138556</v>
      </c>
      <c r="AY94" s="1003" t="n">
        <f aca="false">SUM(AP94+AS94+AV94)</f>
        <v>0</v>
      </c>
      <c r="AZ94" s="1001" t="n">
        <f aca="false">IF(ISERROR(AY94/AX94),"",AY94/AX94)</f>
        <v>0</v>
      </c>
      <c r="BA94" s="1004" t="n">
        <f aca="false">SUM(E94,H94,K94,Q94,T94,W94,AC94,AF94,AI94,AO94,AR94,AU94)</f>
        <v>1243479.02</v>
      </c>
      <c r="BB94" s="1005" t="n">
        <f aca="false">SUM(F94,I94,L94,R94,U94,X94,AD94,AG94,AJ94,AP94,AS94,AV94)</f>
        <v>1164629.69</v>
      </c>
      <c r="BC94" s="1006" t="n">
        <f aca="false">IF(ISERROR(BB94/BA94),"",BB94/BA94)</f>
        <v>0.936589738361649</v>
      </c>
      <c r="BD94" s="919"/>
      <c r="BE94" s="919"/>
      <c r="BF94" s="919"/>
    </row>
    <row collapsed="false" customFormat="false" customHeight="false" hidden="false" ht="12.8" outlineLevel="0" r="95">
      <c r="A95" s="922"/>
      <c r="B95" s="991" t="str">
        <f aca="false">20_Prog_Gestion_Scios!B31</f>
        <v>Combustible y Lubricantes</v>
      </c>
      <c r="C95" s="992" t="s">
        <v>841</v>
      </c>
      <c r="D95" s="993" t="n">
        <v>225950</v>
      </c>
      <c r="E95" s="994" t="n">
        <v>25416</v>
      </c>
      <c r="F95" s="995" t="n">
        <v>0</v>
      </c>
      <c r="G95" s="996" t="n">
        <f aca="false">IF(ISERROR(F95/E95),"",F95/E95)</f>
        <v>0</v>
      </c>
      <c r="H95" s="997" t="n">
        <v>25416</v>
      </c>
      <c r="I95" s="997" t="n">
        <f aca="false">20520+51.4</f>
        <v>20571.4</v>
      </c>
      <c r="J95" s="996" t="n">
        <f aca="false">IF(ISERROR(I95/H95),"",I95/H95)</f>
        <v>0.809387787220648</v>
      </c>
      <c r="K95" s="997" t="n">
        <v>25416</v>
      </c>
      <c r="L95" s="997" t="n">
        <f aca="false">16380+262.43</f>
        <v>16642.43</v>
      </c>
      <c r="M95" s="998" t="n">
        <f aca="false">IF(ISERROR(L95/K95),"",L95/K95)</f>
        <v>0.654801306263771</v>
      </c>
      <c r="N95" s="999" t="n">
        <f aca="false">SUM(E95+H95+K95)</f>
        <v>76248</v>
      </c>
      <c r="O95" s="1000" t="n">
        <f aca="false">SUM(F95+I95+L95)</f>
        <v>37213.83</v>
      </c>
      <c r="P95" s="1001" t="n">
        <f aca="false">IF(ISERROR(O95/N95),"",O95/N95)</f>
        <v>0.488063031161473</v>
      </c>
      <c r="Q95" s="997" t="n">
        <v>25416</v>
      </c>
      <c r="R95" s="997" t="n">
        <f aca="false">24420+292.72</f>
        <v>24712.72</v>
      </c>
      <c r="S95" s="996" t="n">
        <f aca="false">IF(ISERROR(R95/Q95),"",R95/Q95)</f>
        <v>0.972329241422726</v>
      </c>
      <c r="T95" s="997" t="n">
        <v>25416</v>
      </c>
      <c r="U95" s="997" t="n">
        <f aca="false">26582.04+10990</f>
        <v>37572.04</v>
      </c>
      <c r="V95" s="996" t="n">
        <f aca="false">IF(ISERROR(U95/T95),"",U95/T95)</f>
        <v>1.47828297135663</v>
      </c>
      <c r="W95" s="997" t="n">
        <v>25416</v>
      </c>
      <c r="X95" s="997" t="n">
        <f aca="false">18958.88+10.17</f>
        <v>18969.05</v>
      </c>
      <c r="Y95" s="998" t="n">
        <f aca="false">IF(ISERROR(X95/W95),"",X95/W95)</f>
        <v>0.746342854894555</v>
      </c>
      <c r="Z95" s="999" t="n">
        <f aca="false">SUM(Q95+T95+W95)</f>
        <v>76248</v>
      </c>
      <c r="AA95" s="1000" t="n">
        <f aca="false">SUM(R95+U95+X95)</f>
        <v>81253.81</v>
      </c>
      <c r="AB95" s="1001" t="n">
        <f aca="false">IF(ISERROR(AA95/Z95),"",AA95/Z95)</f>
        <v>1.06565168922464</v>
      </c>
      <c r="AC95" s="997" t="n">
        <v>25416</v>
      </c>
      <c r="AD95" s="1002"/>
      <c r="AE95" s="996" t="n">
        <f aca="false">IF(ISERROR(AD95/AC95),"",AD95/AC95)</f>
        <v>0</v>
      </c>
      <c r="AF95" s="997" t="n">
        <v>25416</v>
      </c>
      <c r="AG95" s="1002"/>
      <c r="AH95" s="996" t="n">
        <f aca="false">IF(ISERROR(AG95/AF95),"",AG95/AF95)</f>
        <v>0</v>
      </c>
      <c r="AI95" s="997" t="n">
        <v>21366</v>
      </c>
      <c r="AJ95" s="1002"/>
      <c r="AK95" s="998" t="n">
        <f aca="false">IF(ISERROR(AJ95/AI95),"",AJ95/AI95)</f>
        <v>0</v>
      </c>
      <c r="AL95" s="999" t="n">
        <f aca="false">SUM(AC95+AF95+AI95)</f>
        <v>72198</v>
      </c>
      <c r="AM95" s="1000" t="n">
        <f aca="false">SUM(AD95+AG95+AJ95)</f>
        <v>0</v>
      </c>
      <c r="AN95" s="1001" t="n">
        <f aca="false">IF(ISERROR(AM95/AL95),"",AM95/AL95)</f>
        <v>0</v>
      </c>
      <c r="AO95" s="997" t="n">
        <v>416</v>
      </c>
      <c r="AP95" s="1002"/>
      <c r="AQ95" s="996" t="n">
        <f aca="false">IF(ISERROR(AP95/AO95),"",AP95/AO95)</f>
        <v>0</v>
      </c>
      <c r="AR95" s="997" t="n">
        <v>416</v>
      </c>
      <c r="AS95" s="1002"/>
      <c r="AT95" s="996" t="n">
        <f aca="false">IF(ISERROR(AS95/AR95),"",AS95/AR95)</f>
        <v>0</v>
      </c>
      <c r="AU95" s="997" t="n">
        <v>424</v>
      </c>
      <c r="AV95" s="1002"/>
      <c r="AW95" s="998" t="n">
        <f aca="false">IF(ISERROR(AV95/AU95),"",AV95/AU95)</f>
        <v>0</v>
      </c>
      <c r="AX95" s="999" t="n">
        <f aca="false">SUM(AO95+AR95+AU95)</f>
        <v>1256</v>
      </c>
      <c r="AY95" s="1003" t="n">
        <f aca="false">SUM(AP95+AS95+AV95)</f>
        <v>0</v>
      </c>
      <c r="AZ95" s="1001" t="n">
        <f aca="false">IF(ISERROR(AY95/AX95),"",AY95/AX95)</f>
        <v>0</v>
      </c>
      <c r="BA95" s="1004" t="n">
        <f aca="false">SUM(E95,H95,K95,Q95,T95,W95,AC95,AF95,AI95,AO95,AR95,AU95)</f>
        <v>225950</v>
      </c>
      <c r="BB95" s="1005" t="n">
        <f aca="false">SUM(F95,I95,L95,R95,U95,X95,AD95,AG95,AJ95,AP95,AS95,AV95)</f>
        <v>118467.64</v>
      </c>
      <c r="BC95" s="1006" t="n">
        <f aca="false">IF(ISERROR(BB95/BA95),"",BB95/BA95)</f>
        <v>0.524309094932507</v>
      </c>
      <c r="BD95" s="919"/>
      <c r="BE95" s="919"/>
      <c r="BF95" s="919"/>
    </row>
    <row collapsed="false" customFormat="false" customHeight="false" hidden="false" ht="12.8" outlineLevel="0" r="96">
      <c r="A96" s="922"/>
      <c r="B96" s="991" t="str">
        <f aca="false">20_Prog_Gestion_Scios!B32</f>
        <v>Alimento para humanos</v>
      </c>
      <c r="C96" s="992" t="s">
        <v>841</v>
      </c>
      <c r="D96" s="993" t="n">
        <v>274950</v>
      </c>
      <c r="E96" s="994" t="n">
        <v>22083</v>
      </c>
      <c r="F96" s="995" t="n">
        <v>1450</v>
      </c>
      <c r="G96" s="996" t="n">
        <f aca="false">IF(ISERROR(F96/E96),"",F96/E96)</f>
        <v>0.0656613684734864</v>
      </c>
      <c r="H96" s="997" t="n">
        <v>27083</v>
      </c>
      <c r="I96" s="997" t="n">
        <f aca="false">25128.97+661.13</f>
        <v>25790.1</v>
      </c>
      <c r="J96" s="996" t="n">
        <f aca="false">IF(ISERROR(I96/H96),"",I96/H96)</f>
        <v>0.952261566296201</v>
      </c>
      <c r="K96" s="997" t="n">
        <v>27083</v>
      </c>
      <c r="L96" s="997" t="n">
        <f aca="false">7763.34+907.25</f>
        <v>8670.59</v>
      </c>
      <c r="M96" s="998" t="n">
        <f aca="false">IF(ISERROR(L96/K96),"",L96/K96)</f>
        <v>0.320148801831407</v>
      </c>
      <c r="N96" s="999" t="n">
        <f aca="false">SUM(E96+H96+K96)</f>
        <v>76249</v>
      </c>
      <c r="O96" s="1000" t="n">
        <f aca="false">SUM(F96+I96+L96)</f>
        <v>35910.69</v>
      </c>
      <c r="P96" s="1001" t="n">
        <f aca="false">IF(ISERROR(O96/N96),"",O96/N96)</f>
        <v>0.470966045456334</v>
      </c>
      <c r="Q96" s="997" t="n">
        <v>24873</v>
      </c>
      <c r="R96" s="997" t="n">
        <f aca="false">41052.15+93.43</f>
        <v>41145.58</v>
      </c>
      <c r="S96" s="996" t="n">
        <f aca="false">IF(ISERROR(R96/Q96),"",R96/Q96)</f>
        <v>1.65422667149118</v>
      </c>
      <c r="T96" s="997" t="n">
        <v>24873</v>
      </c>
      <c r="U96" s="997" t="n">
        <f aca="false">25625.55+144.37</f>
        <v>25769.92</v>
      </c>
      <c r="V96" s="996" t="n">
        <f aca="false">IF(ISERROR(U96/T96),"",U96/T96)</f>
        <v>1.03605998472239</v>
      </c>
      <c r="W96" s="997" t="n">
        <v>25092.7</v>
      </c>
      <c r="X96" s="997" t="n">
        <f aca="false">20031.24+1407.57</f>
        <v>21438.81</v>
      </c>
      <c r="Y96" s="998" t="n">
        <f aca="false">IF(ISERROR(X96/W96),"",X96/W96)</f>
        <v>0.854384342856687</v>
      </c>
      <c r="Z96" s="999" t="n">
        <f aca="false">SUM(Q96+T96+W96)</f>
        <v>74838.7</v>
      </c>
      <c r="AA96" s="1000" t="n">
        <f aca="false">SUM(R96+U96+X96)</f>
        <v>88354.31</v>
      </c>
      <c r="AB96" s="1001" t="n">
        <f aca="false">IF(ISERROR(AA96/Z96),"",AA96/Z96)</f>
        <v>1.18059653628404</v>
      </c>
      <c r="AC96" s="997" t="n">
        <v>25583</v>
      </c>
      <c r="AD96" s="1002"/>
      <c r="AE96" s="996" t="n">
        <f aca="false">IF(ISERROR(AD96/AC96),"",AD96/AC96)</f>
        <v>0</v>
      </c>
      <c r="AF96" s="997" t="n">
        <v>25583</v>
      </c>
      <c r="AG96" s="1002"/>
      <c r="AH96" s="996" t="n">
        <f aca="false">IF(ISERROR(AG96/AF96),"",AG96/AF96)</f>
        <v>0</v>
      </c>
      <c r="AI96" s="997" t="n">
        <v>25712.2</v>
      </c>
      <c r="AJ96" s="1002"/>
      <c r="AK96" s="998" t="n">
        <f aca="false">IF(ISERROR(AJ96/AI96),"",AJ96/AI96)</f>
        <v>0</v>
      </c>
      <c r="AL96" s="999" t="n">
        <f aca="false">SUM(AC96+AF96+AI96)</f>
        <v>76878.2</v>
      </c>
      <c r="AM96" s="1000" t="n">
        <f aca="false">SUM(AD96+AG96+AJ96)</f>
        <v>0</v>
      </c>
      <c r="AN96" s="1001" t="n">
        <f aca="false">IF(ISERROR(AM96/AL96),"",AM96/AL96)</f>
        <v>0</v>
      </c>
      <c r="AO96" s="997" t="n">
        <v>12083</v>
      </c>
      <c r="AP96" s="1002"/>
      <c r="AQ96" s="996" t="n">
        <f aca="false">IF(ISERROR(AP96/AO96),"",AP96/AO96)</f>
        <v>0</v>
      </c>
      <c r="AR96" s="997" t="n">
        <v>12083</v>
      </c>
      <c r="AS96" s="1002"/>
      <c r="AT96" s="996" t="n">
        <f aca="false">IF(ISERROR(AS96/AR96),"",AS96/AR96)</f>
        <v>0</v>
      </c>
      <c r="AU96" s="997" t="n">
        <v>11537</v>
      </c>
      <c r="AV96" s="1002"/>
      <c r="AW96" s="998" t="n">
        <f aca="false">IF(ISERROR(AV96/AU96),"",AV96/AU96)</f>
        <v>0</v>
      </c>
      <c r="AX96" s="999" t="n">
        <f aca="false">SUM(AO96+AR96+AU96)</f>
        <v>35703</v>
      </c>
      <c r="AY96" s="1003" t="n">
        <f aca="false">SUM(AP96+AS96+AV96)</f>
        <v>0</v>
      </c>
      <c r="AZ96" s="1001" t="n">
        <f aca="false">IF(ISERROR(AY96/AX96),"",AY96/AX96)</f>
        <v>0</v>
      </c>
      <c r="BA96" s="1004" t="n">
        <f aca="false">SUM(E96,H96,K96,Q96,T96,W96,AC96,AF96,AI96,AO96,AR96,AU96)</f>
        <v>263668.9</v>
      </c>
      <c r="BB96" s="1005" t="n">
        <f aca="false">SUM(F96,I96,L96,R96,U96,X96,AD96,AG96,AJ96,AP96,AS96,AV96)</f>
        <v>124265</v>
      </c>
      <c r="BC96" s="1006" t="n">
        <f aca="false">IF(ISERROR(BB96/BA96),"",BB96/BA96)</f>
        <v>0.47129183608685</v>
      </c>
      <c r="BD96" s="919"/>
      <c r="BE96" s="919"/>
      <c r="BF96" s="919"/>
    </row>
    <row collapsed="false" customFormat="false" customHeight="false" hidden="false" ht="12.8" outlineLevel="0" r="97">
      <c r="A97" s="922"/>
      <c r="B97" s="991" t="str">
        <f aca="false">20_Prog_Gestion_Scios!B33</f>
        <v>Servicios Básicos</v>
      </c>
      <c r="C97" s="992" t="s">
        <v>841</v>
      </c>
      <c r="D97" s="993" t="n">
        <v>909225</v>
      </c>
      <c r="E97" s="994" t="n">
        <v>75770</v>
      </c>
      <c r="F97" s="995" t="n">
        <v>108632.6</v>
      </c>
      <c r="G97" s="996" t="n">
        <f aca="false">IF(ISERROR(F97/E97),"",F97/E97)</f>
        <v>1.43371519070872</v>
      </c>
      <c r="H97" s="997" t="n">
        <v>75770</v>
      </c>
      <c r="I97" s="997" t="n">
        <f aca="false">65454.58+61.22</f>
        <v>65515.8</v>
      </c>
      <c r="J97" s="996" t="n">
        <f aca="false">IF(ISERROR(I97/H97),"",I97/H97)</f>
        <v>0.864666754652237</v>
      </c>
      <c r="K97" s="997" t="n">
        <v>75770</v>
      </c>
      <c r="L97" s="997" t="n">
        <f aca="false">70280.51+93.5</f>
        <v>70374.01</v>
      </c>
      <c r="M97" s="998" t="n">
        <f aca="false">IF(ISERROR(L97/K97),"",L97/K97)</f>
        <v>0.928784611323743</v>
      </c>
      <c r="N97" s="999" t="n">
        <f aca="false">SUM(E97+H97+K97)</f>
        <v>227310</v>
      </c>
      <c r="O97" s="1000" t="n">
        <f aca="false">SUM(F97+I97+L97)</f>
        <v>244522.41</v>
      </c>
      <c r="P97" s="1001" t="n">
        <f aca="false">IF(ISERROR(O97/N97),"",O97/N97)</f>
        <v>1.07572218556157</v>
      </c>
      <c r="Q97" s="997" t="n">
        <v>75770</v>
      </c>
      <c r="R97" s="997" t="n">
        <f aca="false">66607.61+734.25</f>
        <v>67341.86</v>
      </c>
      <c r="S97" s="996" t="n">
        <f aca="false">IF(ISERROR(R97/Q97),"",R97/Q97)</f>
        <v>0.888766794245744</v>
      </c>
      <c r="T97" s="997" t="n">
        <v>75770</v>
      </c>
      <c r="U97" s="997" t="n">
        <v>72115.36</v>
      </c>
      <c r="V97" s="996" t="n">
        <f aca="false">IF(ISERROR(U97/T97),"",U97/T97)</f>
        <v>0.951766662267388</v>
      </c>
      <c r="W97" s="997" t="n">
        <v>75770</v>
      </c>
      <c r="X97" s="997" t="n">
        <f aca="false">79368.44+3717.41</f>
        <v>83085.85</v>
      </c>
      <c r="Y97" s="998" t="n">
        <f aca="false">IF(ISERROR(X97/W97),"",X97/W97)</f>
        <v>1.09655338524482</v>
      </c>
      <c r="Z97" s="999" t="n">
        <f aca="false">SUM(Q97+T97+W97)</f>
        <v>227310</v>
      </c>
      <c r="AA97" s="1000" t="n">
        <f aca="false">SUM(R97+U97+X97)</f>
        <v>222543.07</v>
      </c>
      <c r="AB97" s="1001" t="n">
        <f aca="false">IF(ISERROR(AA97/Z97),"",AA97/Z97)</f>
        <v>0.97902894725265</v>
      </c>
      <c r="AC97" s="997" t="n">
        <v>75770</v>
      </c>
      <c r="AD97" s="1002"/>
      <c r="AE97" s="996" t="n">
        <f aca="false">IF(ISERROR(AD97/AC97),"",AD97/AC97)</f>
        <v>0</v>
      </c>
      <c r="AF97" s="997" t="n">
        <v>75770</v>
      </c>
      <c r="AG97" s="1002"/>
      <c r="AH97" s="996" t="n">
        <f aca="false">IF(ISERROR(AG97/AF97),"",AG97/AF97)</f>
        <v>0</v>
      </c>
      <c r="AI97" s="997" t="n">
        <v>75770</v>
      </c>
      <c r="AJ97" s="1002"/>
      <c r="AK97" s="998" t="n">
        <f aca="false">IF(ISERROR(AJ97/AI97),"",AJ97/AI97)</f>
        <v>0</v>
      </c>
      <c r="AL97" s="999" t="n">
        <f aca="false">SUM(AC97+AF97+AI97)</f>
        <v>227310</v>
      </c>
      <c r="AM97" s="1000" t="n">
        <f aca="false">SUM(AD97+AG97+AJ97)</f>
        <v>0</v>
      </c>
      <c r="AN97" s="1001" t="n">
        <f aca="false">IF(ISERROR(AM97/AL97),"",AM97/AL97)</f>
        <v>0</v>
      </c>
      <c r="AO97" s="997" t="n">
        <v>75770</v>
      </c>
      <c r="AP97" s="1002"/>
      <c r="AQ97" s="996" t="n">
        <f aca="false">IF(ISERROR(AP97/AO97),"",AP97/AO97)</f>
        <v>0</v>
      </c>
      <c r="AR97" s="997" t="n">
        <v>75770</v>
      </c>
      <c r="AS97" s="1002"/>
      <c r="AT97" s="996" t="n">
        <f aca="false">IF(ISERROR(AS97/AR97),"",AS97/AR97)</f>
        <v>0</v>
      </c>
      <c r="AU97" s="997" t="n">
        <v>74633</v>
      </c>
      <c r="AV97" s="1002"/>
      <c r="AW97" s="998" t="n">
        <f aca="false">IF(ISERROR(AV97/AU97),"",AV97/AU97)</f>
        <v>0</v>
      </c>
      <c r="AX97" s="999" t="n">
        <f aca="false">SUM(AO97+AR97+AU97)</f>
        <v>226173</v>
      </c>
      <c r="AY97" s="1003" t="n">
        <f aca="false">SUM(AP97+AS97+AV97)</f>
        <v>0</v>
      </c>
      <c r="AZ97" s="1001" t="n">
        <f aca="false">IF(ISERROR(AY97/AX97),"",AY97/AX97)</f>
        <v>0</v>
      </c>
      <c r="BA97" s="1004" t="n">
        <f aca="false">SUM(E97,H97,K97,Q97,T97,W97,AC97,AF97,AI97,AO97,AR97,AU97)</f>
        <v>908103</v>
      </c>
      <c r="BB97" s="1005" t="n">
        <f aca="false">SUM(F97,I97,L97,R97,U97,X97,AD97,AG97,AJ97,AP97,AS97,AV97)</f>
        <v>467065.48</v>
      </c>
      <c r="BC97" s="1006" t="n">
        <f aca="false">IF(ISERROR(BB97/BA97),"",BB97/BA97)</f>
        <v>0.514330951444935</v>
      </c>
      <c r="BD97" s="919"/>
      <c r="BE97" s="919"/>
      <c r="BF97" s="919"/>
    </row>
    <row collapsed="false" customFormat="false" customHeight="false" hidden="false" ht="12.8" outlineLevel="0" r="98">
      <c r="A98" s="922"/>
      <c r="B98" s="991" t="str">
        <f aca="false">20_Prog_Gestion_Scios!B34</f>
        <v>Adquisición de equipo médico</v>
      </c>
      <c r="C98" s="992" t="s">
        <v>841</v>
      </c>
      <c r="D98" s="993" t="n">
        <v>50000</v>
      </c>
      <c r="E98" s="1007" t="n">
        <v>0</v>
      </c>
      <c r="F98" s="995" t="n">
        <v>0</v>
      </c>
      <c r="G98" s="996" t="str">
        <f aca="false">IF(ISERROR(F98/E98),"",F98/E98)</f>
        <v/>
      </c>
      <c r="H98" s="997" t="n">
        <v>0</v>
      </c>
      <c r="I98" s="997" t="n">
        <v>0</v>
      </c>
      <c r="J98" s="996" t="str">
        <f aca="false">IF(ISERROR(I98/H98),"",I98/H98)</f>
        <v/>
      </c>
      <c r="K98" s="997" t="n">
        <v>0</v>
      </c>
      <c r="L98" s="997" t="n">
        <v>10484</v>
      </c>
      <c r="M98" s="998" t="str">
        <f aca="false">IF(ISERROR(L98/K98),"",L98/K98)</f>
        <v/>
      </c>
      <c r="N98" s="999" t="n">
        <f aca="false">SUM(E98+H98+K98)</f>
        <v>0</v>
      </c>
      <c r="O98" s="1000" t="n">
        <f aca="false">SUM(F98+I98+L98)</f>
        <v>10484</v>
      </c>
      <c r="P98" s="1001" t="str">
        <f aca="false">IF(ISERROR(O98/N98),"",O98/N98)</f>
        <v/>
      </c>
      <c r="Q98" s="997" t="n">
        <v>20000</v>
      </c>
      <c r="R98" s="997" t="n">
        <f aca="false">2777.46+456.7</f>
        <v>3234.16</v>
      </c>
      <c r="S98" s="996" t="n">
        <f aca="false">IF(ISERROR(R98/Q98),"",R98/Q98)</f>
        <v>0.161708</v>
      </c>
      <c r="T98" s="997" t="n">
        <v>0</v>
      </c>
      <c r="U98" s="997"/>
      <c r="V98" s="996" t="str">
        <f aca="false">IF(ISERROR(U98/T98),"",U98/T98)</f>
        <v/>
      </c>
      <c r="W98" s="997" t="n">
        <v>0</v>
      </c>
      <c r="X98" s="997"/>
      <c r="Y98" s="998" t="str">
        <f aca="false">IF(ISERROR(X98/W98),"",X98/W98)</f>
        <v/>
      </c>
      <c r="Z98" s="999" t="n">
        <f aca="false">SUM(Q98+T98+W98)</f>
        <v>20000</v>
      </c>
      <c r="AA98" s="1000" t="n">
        <f aca="false">SUM(R98+U98+X98)</f>
        <v>3234.16</v>
      </c>
      <c r="AB98" s="1001" t="n">
        <f aca="false">IF(ISERROR(AA98/Z98),"",AA98/Z98)</f>
        <v>0.161708</v>
      </c>
      <c r="AC98" s="997" t="n">
        <v>19870</v>
      </c>
      <c r="AD98" s="1002"/>
      <c r="AE98" s="996" t="n">
        <f aca="false">IF(ISERROR(AD98/AC98),"",AD98/AC98)</f>
        <v>0</v>
      </c>
      <c r="AF98" s="997" t="n">
        <v>0</v>
      </c>
      <c r="AG98" s="1002"/>
      <c r="AH98" s="996" t="str">
        <f aca="false">IF(ISERROR(AG98/AF98),"",AG98/AF98)</f>
        <v/>
      </c>
      <c r="AI98" s="997" t="n">
        <v>0</v>
      </c>
      <c r="AJ98" s="1002"/>
      <c r="AK98" s="998" t="str">
        <f aca="false">IF(ISERROR(AJ98/AI98),"",AJ98/AI98)</f>
        <v/>
      </c>
      <c r="AL98" s="999" t="n">
        <f aca="false">SUM(AC98+AF98+AI98)</f>
        <v>19870</v>
      </c>
      <c r="AM98" s="1000" t="n">
        <f aca="false">SUM(AD98+AG98+AJ98)</f>
        <v>0</v>
      </c>
      <c r="AN98" s="1001" t="n">
        <f aca="false">IF(ISERROR(AM98/AL98),"",AM98/AL98)</f>
        <v>0</v>
      </c>
      <c r="AO98" s="997" t="n">
        <v>0</v>
      </c>
      <c r="AP98" s="1002"/>
      <c r="AQ98" s="996" t="str">
        <f aca="false">IF(ISERROR(AP98/AO98),"",AP98/AO98)</f>
        <v/>
      </c>
      <c r="AR98" s="997" t="n">
        <v>0</v>
      </c>
      <c r="AS98" s="1002"/>
      <c r="AT98" s="996" t="str">
        <f aca="false">IF(ISERROR(AS98/AR98),"",AS98/AR98)</f>
        <v/>
      </c>
      <c r="AU98" s="997" t="n">
        <v>0</v>
      </c>
      <c r="AV98" s="1002"/>
      <c r="AW98" s="998" t="str">
        <f aca="false">IF(ISERROR(AV98/AU98),"",AV98/AU98)</f>
        <v/>
      </c>
      <c r="AX98" s="999" t="n">
        <f aca="false">SUM(AO98+AR98+AU98)</f>
        <v>0</v>
      </c>
      <c r="AY98" s="1003" t="n">
        <f aca="false">SUM(AP98+AS98+AV98)</f>
        <v>0</v>
      </c>
      <c r="AZ98" s="1001" t="str">
        <f aca="false">IF(ISERROR(AY98/AX98),"",AY98/AX98)</f>
        <v/>
      </c>
      <c r="BA98" s="1004" t="n">
        <f aca="false">SUM(E98,H98,K98,Q98,T98,W98,AC98,AF98,AI98,AO98,AR98,AU98)</f>
        <v>39870</v>
      </c>
      <c r="BB98" s="1005" t="n">
        <f aca="false">SUM(F98,I98,L98,R98,U98,X98,AD98,AG98,AJ98,AP98,AS98,AV98)</f>
        <v>13718.16</v>
      </c>
      <c r="BC98" s="1006" t="n">
        <f aca="false">IF(ISERROR(BB98/BA98),"",BB98/BA98)</f>
        <v>0.34407223476298</v>
      </c>
      <c r="BD98" s="919"/>
      <c r="BE98" s="919"/>
      <c r="BF98" s="919"/>
    </row>
    <row collapsed="false" customFormat="false" customHeight="false" hidden="false" ht="12.8" outlineLevel="0" r="99">
      <c r="A99" s="922"/>
      <c r="B99" s="991" t="str">
        <f aca="false">20_Prog_Gestion_Scios!B35</f>
        <v>Adquisición de equipo no médico</v>
      </c>
      <c r="C99" s="992" t="s">
        <v>841</v>
      </c>
      <c r="D99" s="993" t="n">
        <v>10000</v>
      </c>
      <c r="E99" s="1007" t="n">
        <v>0</v>
      </c>
      <c r="F99" s="995" t="n">
        <f aca="false">390+4497+4756.01</f>
        <v>9643.01</v>
      </c>
      <c r="G99" s="996" t="str">
        <f aca="false">IF(ISERROR(F99/E99),"",F99/E99)</f>
        <v/>
      </c>
      <c r="H99" s="997" t="n">
        <v>0</v>
      </c>
      <c r="I99" s="997" t="n">
        <f aca="false">760+1950</f>
        <v>2710</v>
      </c>
      <c r="J99" s="996" t="str">
        <f aca="false">IF(ISERROR(I99/H99),"",I99/H99)</f>
        <v/>
      </c>
      <c r="K99" s="997" t="n">
        <v>0</v>
      </c>
      <c r="L99" s="997"/>
      <c r="M99" s="998" t="str">
        <f aca="false">IF(ISERROR(L99/K99),"",L99/K99)</f>
        <v/>
      </c>
      <c r="N99" s="999" t="n">
        <f aca="false">SUM(E99+H99+K99)</f>
        <v>0</v>
      </c>
      <c r="O99" s="1000" t="n">
        <f aca="false">SUM(F99+I99+L99)</f>
        <v>12353.01</v>
      </c>
      <c r="P99" s="1001" t="str">
        <f aca="false">IF(ISERROR(O99/N99),"",O99/N99)</f>
        <v/>
      </c>
      <c r="Q99" s="997" t="n">
        <v>0</v>
      </c>
      <c r="R99" s="997" t="n">
        <f aca="false">157.49+3958</f>
        <v>4115.49</v>
      </c>
      <c r="S99" s="996" t="str">
        <f aca="false">IF(ISERROR(R99/Q99),"",R99/Q99)</f>
        <v/>
      </c>
      <c r="T99" s="997"/>
      <c r="U99" s="997" t="n">
        <f aca="false">2500+725</f>
        <v>3225</v>
      </c>
      <c r="V99" s="996" t="str">
        <f aca="false">IF(ISERROR(U99/T99),"",U99/T99)</f>
        <v/>
      </c>
      <c r="W99" s="997" t="n">
        <v>0</v>
      </c>
      <c r="X99" s="997" t="n">
        <f aca="false">2450+2360.52</f>
        <v>4810.52</v>
      </c>
      <c r="Y99" s="998" t="str">
        <f aca="false">IF(ISERROR(X99/W99),"",X99/W99)</f>
        <v/>
      </c>
      <c r="Z99" s="999" t="n">
        <f aca="false">SUM(Q99+T99+W99)</f>
        <v>0</v>
      </c>
      <c r="AA99" s="1000" t="n">
        <f aca="false">SUM(R99+U99+X99)</f>
        <v>12151.01</v>
      </c>
      <c r="AB99" s="1001" t="str">
        <f aca="false">IF(ISERROR(AA99/Z99),"",AA99/Z99)</f>
        <v/>
      </c>
      <c r="AC99" s="997" t="n">
        <v>0</v>
      </c>
      <c r="AD99" s="1002"/>
      <c r="AE99" s="996" t="str">
        <f aca="false">IF(ISERROR(AD99/AC99),"",AD99/AC99)</f>
        <v/>
      </c>
      <c r="AF99" s="997" t="n">
        <v>0</v>
      </c>
      <c r="AG99" s="1002"/>
      <c r="AH99" s="996" t="str">
        <f aca="false">IF(ISERROR(AG99/AF99),"",AG99/AF99)</f>
        <v/>
      </c>
      <c r="AI99" s="997" t="n">
        <v>0</v>
      </c>
      <c r="AJ99" s="1002"/>
      <c r="AK99" s="998" t="str">
        <f aca="false">IF(ISERROR(AJ99/AI99),"",AJ99/AI99)</f>
        <v/>
      </c>
      <c r="AL99" s="999" t="n">
        <f aca="false">SUM(AC99+AF99+AI99)</f>
        <v>0</v>
      </c>
      <c r="AM99" s="1000" t="n">
        <f aca="false">SUM(AD99+AG99+AJ99)</f>
        <v>0</v>
      </c>
      <c r="AN99" s="1001" t="str">
        <f aca="false">IF(ISERROR(AM99/AL99),"",AM99/AL99)</f>
        <v/>
      </c>
      <c r="AO99" s="997" t="n">
        <v>0</v>
      </c>
      <c r="AP99" s="1002"/>
      <c r="AQ99" s="996" t="str">
        <f aca="false">IF(ISERROR(AP99/AO99),"",AP99/AO99)</f>
        <v/>
      </c>
      <c r="AR99" s="997" t="n">
        <v>0</v>
      </c>
      <c r="AS99" s="1002"/>
      <c r="AT99" s="996" t="str">
        <f aca="false">IF(ISERROR(AS99/AR99),"",AS99/AR99)</f>
        <v/>
      </c>
      <c r="AU99" s="997" t="n">
        <v>0</v>
      </c>
      <c r="AV99" s="1002"/>
      <c r="AW99" s="998" t="str">
        <f aca="false">IF(ISERROR(AV99/AU99),"",AV99/AU99)</f>
        <v/>
      </c>
      <c r="AX99" s="999" t="n">
        <f aca="false">SUM(AO99+AR99+AU99)</f>
        <v>0</v>
      </c>
      <c r="AY99" s="1003" t="n">
        <f aca="false">SUM(AP99+AS99+AV99)</f>
        <v>0</v>
      </c>
      <c r="AZ99" s="1001" t="str">
        <f aca="false">IF(ISERROR(AY99/AX99),"",AY99/AX99)</f>
        <v/>
      </c>
      <c r="BA99" s="1004" t="n">
        <f aca="false">SUM(E99,H99,K99,Q99,T99,W99,AC99,AF99,AI99,AO99,AR99,AU99)</f>
        <v>0</v>
      </c>
      <c r="BB99" s="1005" t="n">
        <f aca="false">SUM(F99,I99,L99,R99,U99,X99,AD99,AG99,AJ99,AP99,AS99,AV99)</f>
        <v>24504.02</v>
      </c>
      <c r="BC99" s="1006" t="str">
        <f aca="false">IF(ISERROR(BB99/BA99),"",BB99/BA99)</f>
        <v/>
      </c>
      <c r="BD99" s="919"/>
      <c r="BE99" s="919"/>
      <c r="BF99" s="919"/>
    </row>
    <row collapsed="false" customFormat="false" customHeight="false" hidden="false" ht="12.8" outlineLevel="0" r="100">
      <c r="A100" s="922"/>
      <c r="B100" s="991" t="str">
        <f aca="false">20_Prog_Gestion_Scios!B36</f>
        <v>Mantenimiento en general</v>
      </c>
      <c r="C100" s="992" t="s">
        <v>841</v>
      </c>
      <c r="D100" s="993" t="n">
        <v>280000</v>
      </c>
      <c r="E100" s="1008" t="n">
        <v>27500</v>
      </c>
      <c r="F100" s="995" t="n">
        <v>0</v>
      </c>
      <c r="G100" s="996" t="n">
        <f aca="false">IF(ISERROR(F100/E100),"",F100/E100)</f>
        <v>0</v>
      </c>
      <c r="H100" s="997" t="n">
        <v>27500</v>
      </c>
      <c r="I100" s="997" t="n">
        <f aca="false">12510.81+1368.48</f>
        <v>13879.29</v>
      </c>
      <c r="J100" s="996" t="n">
        <f aca="false">IF(ISERROR(I100/H100),"",I100/H100)</f>
        <v>0.504701454545455</v>
      </c>
      <c r="K100" s="997" t="n">
        <v>27500</v>
      </c>
      <c r="L100" s="997" t="n">
        <f aca="false">15759.14+1230.37</f>
        <v>16989.51</v>
      </c>
      <c r="M100" s="998" t="n">
        <f aca="false">IF(ISERROR(L100/K100),"",L100/K100)</f>
        <v>0.617800363636364</v>
      </c>
      <c r="N100" s="999" t="n">
        <f aca="false">SUM(E100+H100+K100)</f>
        <v>82500</v>
      </c>
      <c r="O100" s="1000" t="n">
        <f aca="false">SUM(F100+I100+L100)</f>
        <v>30868.8</v>
      </c>
      <c r="P100" s="1001" t="n">
        <f aca="false">IF(ISERROR(O100/N100),"",O100/N100)</f>
        <v>0.374167272727273</v>
      </c>
      <c r="Q100" s="997" t="n">
        <v>28332</v>
      </c>
      <c r="R100" s="997" t="n">
        <f aca="false">14706+619.25</f>
        <v>15325.25</v>
      </c>
      <c r="S100" s="996" t="n">
        <f aca="false">IF(ISERROR(R100/Q100),"",R100/Q100)</f>
        <v>0.540916631370888</v>
      </c>
      <c r="T100" s="997" t="n">
        <v>28332</v>
      </c>
      <c r="U100" s="997" t="n">
        <f aca="false">43723.92+6533.21</f>
        <v>50257.13</v>
      </c>
      <c r="V100" s="996" t="n">
        <f aca="false">IF(ISERROR(U100/T100),"",U100/T100)</f>
        <v>1.77386453480164</v>
      </c>
      <c r="W100" s="997" t="n">
        <v>28332</v>
      </c>
      <c r="X100" s="997" t="n">
        <f aca="false">6110.33+1278.73</f>
        <v>7389.06</v>
      </c>
      <c r="Y100" s="998" t="n">
        <f aca="false">IF(ISERROR(X100/W100),"",X100/W100)</f>
        <v>0.26080262600593</v>
      </c>
      <c r="Z100" s="999" t="n">
        <f aca="false">SUM(Q100+T100+W100)</f>
        <v>84996</v>
      </c>
      <c r="AA100" s="1000" t="n">
        <f aca="false">SUM(R100+U100+X100)</f>
        <v>72971.44</v>
      </c>
      <c r="AB100" s="1001" t="n">
        <f aca="false">IF(ISERROR(AA100/Z100),"",AA100/Z100)</f>
        <v>0.858527930726152</v>
      </c>
      <c r="AC100" s="997" t="n">
        <v>28332</v>
      </c>
      <c r="AD100" s="1002"/>
      <c r="AE100" s="996" t="n">
        <f aca="false">IF(ISERROR(AD100/AC100),"",AD100/AC100)</f>
        <v>0</v>
      </c>
      <c r="AF100" s="997" t="n">
        <v>28332</v>
      </c>
      <c r="AG100" s="1002"/>
      <c r="AH100" s="996" t="n">
        <f aca="false">IF(ISERROR(AG100/AF100),"",AG100/AF100)</f>
        <v>0</v>
      </c>
      <c r="AI100" s="997" t="n">
        <v>28332</v>
      </c>
      <c r="AJ100" s="1002"/>
      <c r="AK100" s="998" t="n">
        <f aca="false">IF(ISERROR(AJ100/AI100),"",AJ100/AI100)</f>
        <v>0</v>
      </c>
      <c r="AL100" s="999" t="n">
        <f aca="false">SUM(AC100+AF100+AI100)</f>
        <v>84996</v>
      </c>
      <c r="AM100" s="1000" t="n">
        <f aca="false">SUM(AD100+AG100+AJ100)</f>
        <v>0</v>
      </c>
      <c r="AN100" s="1001" t="n">
        <f aca="false">IF(ISERROR(AM100/AL100),"",AM100/AL100)</f>
        <v>0</v>
      </c>
      <c r="AO100" s="997" t="n">
        <v>18332</v>
      </c>
      <c r="AP100" s="1002"/>
      <c r="AQ100" s="996" t="n">
        <f aca="false">IF(ISERROR(AP100/AO100),"",AP100/AO100)</f>
        <v>0</v>
      </c>
      <c r="AR100" s="997" t="n">
        <v>3332</v>
      </c>
      <c r="AS100" s="1002"/>
      <c r="AT100" s="996" t="n">
        <f aca="false">IF(ISERROR(AS100/AR100),"",AS100/AR100)</f>
        <v>0</v>
      </c>
      <c r="AU100" s="997" t="n">
        <v>3348</v>
      </c>
      <c r="AV100" s="1002"/>
      <c r="AW100" s="998" t="n">
        <f aca="false">IF(ISERROR(AV100/AU100),"",AV100/AU100)</f>
        <v>0</v>
      </c>
      <c r="AX100" s="999" t="n">
        <f aca="false">SUM(AO100+AR100+AU100)</f>
        <v>25012</v>
      </c>
      <c r="AY100" s="1003" t="n">
        <f aca="false">SUM(AP100+AS100+AV100)</f>
        <v>0</v>
      </c>
      <c r="AZ100" s="1001" t="n">
        <f aca="false">IF(ISERROR(AY100/AX100),"",AY100/AX100)</f>
        <v>0</v>
      </c>
      <c r="BA100" s="1004" t="n">
        <f aca="false">SUM(E100,H100,K100,Q100,T100,W100,AC100,AF100,AI100,AO100,AR100,AU100)</f>
        <v>277504</v>
      </c>
      <c r="BB100" s="1005" t="n">
        <f aca="false">SUM(F100,I100,L100,R100,U100,X100,AD100,AG100,AJ100,AP100,AS100,AV100)</f>
        <v>103840.24</v>
      </c>
      <c r="BC100" s="1006" t="n">
        <f aca="false">IF(ISERROR(BB100/BA100),"",BB100/BA100)</f>
        <v>0.374193669280443</v>
      </c>
      <c r="BD100" s="919"/>
      <c r="BE100" s="919"/>
      <c r="BF100" s="919"/>
    </row>
    <row collapsed="false" customFormat="false" customHeight="false" hidden="false" ht="12.8" outlineLevel="0" r="101">
      <c r="A101" s="922"/>
      <c r="B101" s="991" t="str">
        <f aca="false">20_Prog_Gestion_Scios!B37</f>
        <v>Otros</v>
      </c>
      <c r="C101" s="992" t="s">
        <v>841</v>
      </c>
      <c r="D101" s="993" t="n">
        <v>2188505</v>
      </c>
      <c r="E101" s="1008" t="n">
        <v>138354</v>
      </c>
      <c r="F101" s="995" t="n">
        <v>16892.29</v>
      </c>
      <c r="G101" s="996" t="n">
        <f aca="false">IF(ISERROR(F101/E101),"",F101/E101)</f>
        <v>0.122094699105194</v>
      </c>
      <c r="H101" s="997" t="n">
        <v>123224</v>
      </c>
      <c r="I101" s="997" t="n">
        <f aca="false">56789.97+15013.6</f>
        <v>71803.57</v>
      </c>
      <c r="J101" s="996" t="n">
        <f aca="false">IF(ISERROR(I101/H101),"",I101/H101)</f>
        <v>0.582707670583653</v>
      </c>
      <c r="K101" s="997" t="n">
        <v>265526</v>
      </c>
      <c r="L101" s="997" t="n">
        <f aca="false">55168.47+4708.61</f>
        <v>59877.08</v>
      </c>
      <c r="M101" s="998" t="n">
        <f aca="false">IF(ISERROR(L101/K101),"",L101/K101)</f>
        <v>0.225503641827919</v>
      </c>
      <c r="N101" s="999" t="n">
        <f aca="false">SUM(E101+H101+K101)</f>
        <v>527104</v>
      </c>
      <c r="O101" s="1000" t="n">
        <f aca="false">SUM(F101+I101+L101)</f>
        <v>148572.94</v>
      </c>
      <c r="P101" s="1001" t="n">
        <f aca="false">IF(ISERROR(O101/N101),"",O101/N101)</f>
        <v>0.281866462785333</v>
      </c>
      <c r="Q101" s="997" t="n">
        <v>398741</v>
      </c>
      <c r="R101" s="997" t="n">
        <f aca="false">87155.24+6512.16</f>
        <v>93667.4</v>
      </c>
      <c r="S101" s="996" t="n">
        <f aca="false">IF(ISERROR(R101/Q101),"",R101/Q101)</f>
        <v>0.234907872528784</v>
      </c>
      <c r="T101" s="997" t="n">
        <v>399702.6</v>
      </c>
      <c r="U101" s="997" t="n">
        <f aca="false">355551.23+7278.25</f>
        <v>362829.48</v>
      </c>
      <c r="V101" s="996" t="n">
        <f aca="false">IF(ISERROR(U101/T101),"",U101/T101)</f>
        <v>0.907748611092347</v>
      </c>
      <c r="W101" s="997" t="n">
        <v>391753</v>
      </c>
      <c r="X101" s="997" t="n">
        <f aca="false">120078.31+16087.07</f>
        <v>136165.38</v>
      </c>
      <c r="Y101" s="998" t="n">
        <f aca="false">IF(ISERROR(X101/W101),"",X101/W101)</f>
        <v>0.347579673927194</v>
      </c>
      <c r="Z101" s="999" t="n">
        <f aca="false">SUM(Q101+T101+W101)</f>
        <v>1190196.6</v>
      </c>
      <c r="AA101" s="1000" t="n">
        <f aca="false">SUM(R101+U101+X101)</f>
        <v>592662.26</v>
      </c>
      <c r="AB101" s="1001" t="n">
        <f aca="false">IF(ISERROR(AA101/Z101),"",AA101/Z101)</f>
        <v>0.497953245707474</v>
      </c>
      <c r="AC101" s="997" t="n">
        <v>374451</v>
      </c>
      <c r="AD101" s="1002"/>
      <c r="AE101" s="996" t="n">
        <f aca="false">IF(ISERROR(AD101/AC101),"",AD101/AC101)</f>
        <v>0</v>
      </c>
      <c r="AF101" s="997" t="n">
        <v>337676</v>
      </c>
      <c r="AG101" s="1002"/>
      <c r="AH101" s="996" t="n">
        <f aca="false">IF(ISERROR(AG101/AF101),"",AG101/AF101)</f>
        <v>0</v>
      </c>
      <c r="AI101" s="997" t="n">
        <v>336753</v>
      </c>
      <c r="AJ101" s="1002"/>
      <c r="AK101" s="998" t="n">
        <f aca="false">IF(ISERROR(AJ101/AI101),"",AJ101/AI101)</f>
        <v>0</v>
      </c>
      <c r="AL101" s="999" t="n">
        <f aca="false">SUM(AC101+AF101+AI101)</f>
        <v>1048880</v>
      </c>
      <c r="AM101" s="1000" t="n">
        <f aca="false">SUM(AD101+AG101+AJ101)</f>
        <v>0</v>
      </c>
      <c r="AN101" s="1001" t="n">
        <f aca="false">IF(ISERROR(AM101/AL101),"",AM101/AL101)</f>
        <v>0</v>
      </c>
      <c r="AO101" s="997" t="n">
        <v>304451</v>
      </c>
      <c r="AP101" s="1002"/>
      <c r="AQ101" s="996" t="n">
        <f aca="false">IF(ISERROR(AP101/AO101),"",AP101/AO101)</f>
        <v>0</v>
      </c>
      <c r="AR101" s="997" t="n">
        <v>304451</v>
      </c>
      <c r="AS101" s="1002"/>
      <c r="AT101" s="996" t="n">
        <f aca="false">IF(ISERROR(AS101/AR101),"",AS101/AR101)</f>
        <v>0</v>
      </c>
      <c r="AU101" s="997" t="n">
        <v>380043</v>
      </c>
      <c r="AV101" s="1002"/>
      <c r="AW101" s="998" t="n">
        <f aca="false">IF(ISERROR(AV101/AU101),"",AV101/AU101)</f>
        <v>0</v>
      </c>
      <c r="AX101" s="999" t="n">
        <f aca="false">SUM(AO101+AR101+AU101)</f>
        <v>988945</v>
      </c>
      <c r="AY101" s="1003" t="n">
        <f aca="false">SUM(AP101+AS101+AV101)</f>
        <v>0</v>
      </c>
      <c r="AZ101" s="1001" t="n">
        <f aca="false">IF(ISERROR(AY101/AX101),"",AY101/AX101)</f>
        <v>0</v>
      </c>
      <c r="BA101" s="1004" t="n">
        <f aca="false">SUM(E101,H101,K101,Q101,T101,W101,AC101,AF101,AI101,AO101,AR101,AU101)</f>
        <v>3755125.6</v>
      </c>
      <c r="BB101" s="1005" t="n">
        <f aca="false">SUM(F101,I101,L101,R101,U101,X101,AD101,AG101,AJ101,AP101,AS101,AV101)</f>
        <v>741235.2</v>
      </c>
      <c r="BC101" s="1006" t="n">
        <f aca="false">IF(ISERROR(BB101/BA101),"",BB101/BA101)</f>
        <v>0.197392918095736</v>
      </c>
      <c r="BD101" s="919"/>
      <c r="BE101" s="919"/>
      <c r="BF101" s="919"/>
    </row>
    <row collapsed="false" customFormat="false" customHeight="false" hidden="false" ht="12.8" outlineLevel="0" r="102">
      <c r="A102" s="922"/>
      <c r="B102" s="1009" t="str">
        <f aca="false">20_Prog_Gestion_Scios!B38</f>
        <v>Total</v>
      </c>
      <c r="C102" s="1010" t="s">
        <v>841</v>
      </c>
      <c r="D102" s="1011" t="n">
        <f aca="false">SUM(D92:D101)</f>
        <v>23893655</v>
      </c>
      <c r="E102" s="1012" t="n">
        <f aca="false">SUM(E92:E101)</f>
        <v>3967023</v>
      </c>
      <c r="F102" s="1013" t="n">
        <f aca="false">SUM(F92:F101)</f>
        <v>1501793.93</v>
      </c>
      <c r="G102" s="1014" t="n">
        <f aca="false">IF(ISERROR(F102/E102),"",F102/E102)</f>
        <v>0.37856950413446</v>
      </c>
      <c r="H102" s="1015" t="n">
        <f aca="false">SUM(H92:H101)</f>
        <v>1687453</v>
      </c>
      <c r="I102" s="1015" t="n">
        <f aca="false">SUM(I92:I101)</f>
        <v>1897747.36</v>
      </c>
      <c r="J102" s="1014" t="n">
        <f aca="false">IF(ISERROR(I102/H102),"",I102/H102)</f>
        <v>1.12462235096326</v>
      </c>
      <c r="K102" s="1015" t="n">
        <f aca="false">SUM(K92:K101)</f>
        <v>1849755</v>
      </c>
      <c r="L102" s="1015" t="n">
        <f aca="false">SUM(L92:L101)</f>
        <v>1728969.28</v>
      </c>
      <c r="M102" s="1016" t="n">
        <f aca="false">IF(ISERROR(L102/K102),"",L102/K102)</f>
        <v>0.934701774018721</v>
      </c>
      <c r="N102" s="1017" t="n">
        <f aca="false">SUM(N92:N101)</f>
        <v>7504231</v>
      </c>
      <c r="O102" s="1018" t="n">
        <f aca="false">SUM(O92:O101)</f>
        <v>5128510.57</v>
      </c>
      <c r="P102" s="1019" t="n">
        <f aca="false">IF(ISERROR(O102/N102),"",O102/N102)</f>
        <v>0.683415871659601</v>
      </c>
      <c r="Q102" s="1015" t="n">
        <f aca="false">SUM(Q92:Q101)</f>
        <v>1988808.02</v>
      </c>
      <c r="R102" s="1015" t="n">
        <f aca="false">SUM(R92:R101)</f>
        <v>2061827.1</v>
      </c>
      <c r="S102" s="1014" t="n">
        <f aca="false">IF(ISERROR(R102/Q102),"",R102/Q102)</f>
        <v>1.03671499675469</v>
      </c>
      <c r="T102" s="1015" t="n">
        <f aca="false">SUM(T92:T101)</f>
        <v>1797494.6</v>
      </c>
      <c r="U102" s="1015" t="n">
        <f aca="false">SUM(U92:U101)</f>
        <v>1967402.42</v>
      </c>
      <c r="V102" s="1014" t="n">
        <f aca="false">IF(ISERROR(U102/T102),"",U102/T102)</f>
        <v>1.09452480135406</v>
      </c>
      <c r="W102" s="1015" t="n">
        <f aca="false">SUM(W92:W101)</f>
        <v>2118480.7</v>
      </c>
      <c r="X102" s="1015" t="n">
        <f aca="false">SUM(X92:X101)</f>
        <v>1876994.95</v>
      </c>
      <c r="Y102" s="1016" t="n">
        <f aca="false">IF(ISERROR(X102/W102),"",X102/W102)</f>
        <v>0.886009936271782</v>
      </c>
      <c r="Z102" s="1017" t="n">
        <f aca="false">SUM(Z92:Z101)</f>
        <v>5904783.32</v>
      </c>
      <c r="AA102" s="1018" t="n">
        <f aca="false">SUM(AA92:AA101)</f>
        <v>5906224.47</v>
      </c>
      <c r="AB102" s="1019" t="n">
        <f aca="false">IF(ISERROR(AA102/Z102),"",AA102/Z102)</f>
        <v>1.00024406484064</v>
      </c>
      <c r="AC102" s="1015" t="n">
        <f aca="false">SUM(AC92:AC101)</f>
        <v>1792697</v>
      </c>
      <c r="AD102" s="1020" t="n">
        <f aca="false">SUM(AD92:AD101)</f>
        <v>0</v>
      </c>
      <c r="AE102" s="1014" t="n">
        <f aca="false">IF(ISERROR(AD102/AC102),"",AD102/AC102)</f>
        <v>0</v>
      </c>
      <c r="AF102" s="1015" t="n">
        <f aca="false">SUM(AF92:AF101)</f>
        <v>1654178</v>
      </c>
      <c r="AG102" s="1020" t="n">
        <f aca="false">SUM(AG92:AG101)</f>
        <v>0</v>
      </c>
      <c r="AH102" s="1014" t="n">
        <f aca="false">IF(ISERROR(AG102/AF102),"",AG102/AF102)</f>
        <v>0</v>
      </c>
      <c r="AI102" s="1015" t="n">
        <f aca="false">SUM(AI92:AI101)</f>
        <v>1729334.2</v>
      </c>
      <c r="AJ102" s="1020" t="n">
        <f aca="false">SUM(AJ92:AJ101)</f>
        <v>0</v>
      </c>
      <c r="AK102" s="1016" t="n">
        <f aca="false">IF(ISERROR(AJ102/AI102),"",AJ102/AI102)</f>
        <v>0</v>
      </c>
      <c r="AL102" s="1017" t="n">
        <f aca="false">SUM(AL92:AL101)</f>
        <v>5176209.2</v>
      </c>
      <c r="AM102" s="1018" t="n">
        <f aca="false">SUM(AM92:AM101)</f>
        <v>0</v>
      </c>
      <c r="AN102" s="1019" t="n">
        <f aca="false">IF(ISERROR(AM102/AL102),"",AM102/AL102)</f>
        <v>0</v>
      </c>
      <c r="AO102" s="1015" t="n">
        <f aca="false">SUM(AO92:AO101)</f>
        <v>1572453</v>
      </c>
      <c r="AP102" s="1020" t="n">
        <f aca="false">SUM(AP92:AP101)</f>
        <v>0</v>
      </c>
      <c r="AQ102" s="1014" t="n">
        <f aca="false">IF(ISERROR(AP102/AO102),"",AP102/AO102)</f>
        <v>0</v>
      </c>
      <c r="AR102" s="1015" t="n">
        <f aca="false">SUM(AR92:AR101)</f>
        <v>1557453</v>
      </c>
      <c r="AS102" s="1020" t="n">
        <f aca="false">SUM(AS92:AS101)</f>
        <v>0</v>
      </c>
      <c r="AT102" s="1014" t="n">
        <f aca="false">IF(ISERROR(AS102/AR102),"",AS102/AR102)</f>
        <v>0</v>
      </c>
      <c r="AU102" s="1015" t="n">
        <f aca="false">SUM(AU92:AU101)</f>
        <v>2062149</v>
      </c>
      <c r="AV102" s="1020" t="n">
        <f aca="false">SUM(AV92:AV101)</f>
        <v>0</v>
      </c>
      <c r="AW102" s="1016" t="n">
        <f aca="false">IF(ISERROR(AV102/AU102),"",AV102/AU102)</f>
        <v>0</v>
      </c>
      <c r="AX102" s="1017" t="n">
        <f aca="false">SUM(AX92:AX101)</f>
        <v>5192055</v>
      </c>
      <c r="AY102" s="1021" t="n">
        <f aca="false">SUM(AY92:AY101)</f>
        <v>0</v>
      </c>
      <c r="AZ102" s="1019" t="n">
        <f aca="false">IF(ISERROR(AY102/AX102),"",AY102/AX102)</f>
        <v>0</v>
      </c>
      <c r="BA102" s="1022" t="n">
        <f aca="false">SUM(E102,H102,K102,Q102,T102,W102,AC102,AF102,AI102,AO102,AR102,AU102)</f>
        <v>23777278.52</v>
      </c>
      <c r="BB102" s="1023" t="n">
        <f aca="false">SUM(F102,I102,L102,R102,U102,X102,AD102,AG102,AJ102,AP102,AS102,AV102)</f>
        <v>11034735.04</v>
      </c>
      <c r="BC102" s="1024" t="n">
        <f aca="false">IF(ISERROR(BB102/BA102),"",BB102/BA102)</f>
        <v>0.464087386229599</v>
      </c>
      <c r="BD102" s="919"/>
      <c r="BE102" s="919"/>
      <c r="BF102" s="919"/>
    </row>
  </sheetData>
  <mergeCells count="62">
    <mergeCell ref="B1:T1"/>
    <mergeCell ref="B2:T2"/>
    <mergeCell ref="A4:S4"/>
    <mergeCell ref="A5:A7"/>
    <mergeCell ref="B5:B7"/>
    <mergeCell ref="C5:C7"/>
    <mergeCell ref="D5:D7"/>
    <mergeCell ref="E5:BC5"/>
    <mergeCell ref="E6:G6"/>
    <mergeCell ref="H6:J6"/>
    <mergeCell ref="K6:M6"/>
    <mergeCell ref="N6:P6"/>
    <mergeCell ref="Q6:S6"/>
    <mergeCell ref="T6:V6"/>
    <mergeCell ref="W6:Y6"/>
    <mergeCell ref="Z6:AB6"/>
    <mergeCell ref="AC6:AE6"/>
    <mergeCell ref="AF6:AH6"/>
    <mergeCell ref="AI6:AK6"/>
    <mergeCell ref="AL6:AN6"/>
    <mergeCell ref="AO6:AQ6"/>
    <mergeCell ref="AR6:AT6"/>
    <mergeCell ref="AU6:AW6"/>
    <mergeCell ref="AX6:AZ6"/>
    <mergeCell ref="BA6:BC6"/>
    <mergeCell ref="A8:A11"/>
    <mergeCell ref="C71:C72"/>
    <mergeCell ref="D71:D72"/>
    <mergeCell ref="E71:G71"/>
    <mergeCell ref="H71:J71"/>
    <mergeCell ref="K71:M71"/>
    <mergeCell ref="N71:P71"/>
    <mergeCell ref="Q71:S71"/>
    <mergeCell ref="T71:V71"/>
    <mergeCell ref="W71:Y71"/>
    <mergeCell ref="Z71:AB71"/>
    <mergeCell ref="AC71:AE71"/>
    <mergeCell ref="AF71:AH71"/>
    <mergeCell ref="AI71:AK71"/>
    <mergeCell ref="AL71:AN71"/>
    <mergeCell ref="AO71:AQ71"/>
    <mergeCell ref="AR71:AT71"/>
    <mergeCell ref="AU71:AW71"/>
    <mergeCell ref="AX71:AZ71"/>
    <mergeCell ref="BA71:BC71"/>
    <mergeCell ref="E90:G90"/>
    <mergeCell ref="H90:J90"/>
    <mergeCell ref="K90:M90"/>
    <mergeCell ref="N90:P90"/>
    <mergeCell ref="Q90:S90"/>
    <mergeCell ref="T90:V90"/>
    <mergeCell ref="W90:Y90"/>
    <mergeCell ref="Z90:AB90"/>
    <mergeCell ref="AC90:AE90"/>
    <mergeCell ref="AF90:AH90"/>
    <mergeCell ref="AI90:AK90"/>
    <mergeCell ref="AL90:AN90"/>
    <mergeCell ref="AO90:AQ90"/>
    <mergeCell ref="AR90:AT90"/>
    <mergeCell ref="AU90:AW90"/>
    <mergeCell ref="AX90:AZ90"/>
    <mergeCell ref="BA90:BC90"/>
  </mergeCells>
  <printOptions headings="false" gridLines="false" gridLinesSet="true" horizontalCentered="false" verticalCentered="false"/>
  <pageMargins left="0.590277777777778" right="0.159722222222222" top="0.729861111111111" bottom="0.670138888888889" header="0.511805555555555" footer="0.511805555555555"/>
  <pageSetup blackAndWhite="false" cellComments="none" copies="1" draft="false" firstPageNumber="0" fitToHeight="1" fitToWidth="1" horizontalDpi="300" orientation="landscape" pageOrder="downThenOver" paperSize="77" scale="70" useFirstPageNumber="false" usePrinterDefaults="false" verticalDpi="300"/>
  <headerFooter differentFirst="false" differentOddEven="false">
    <oddHeader/>
    <oddFooter/>
  </headerFooter>
</worksheet>
</file>

<file path=xl/worksheets/sheet26.xml><?xml version="1.0" encoding="utf-8"?>
<worksheet xmlns="http://schemas.openxmlformats.org/spreadsheetml/2006/main" xmlns:r="http://schemas.openxmlformats.org/officeDocument/2006/relationships">
  <sheetPr filterMode="false">
    <pageSetUpPr fitToPage="false"/>
  </sheetPr>
  <dimension ref="A1:T31"/>
  <sheetViews>
    <sheetView colorId="64" defaultGridColor="true" rightToLeft="false" showFormulas="false" showGridLines="false" showOutlineSymbols="true" showRowColHeaders="true" showZeros="true" tabSelected="false" topLeftCell="A1" view="normal" windowProtection="false" workbookViewId="0" zoomScale="80" zoomScaleNormal="80" zoomScalePageLayoutView="75">
      <selection activeCell="H13" activeCellId="0" pane="topLeft" sqref="H13"/>
    </sheetView>
  </sheetViews>
  <cols>
    <col collapsed="false" hidden="false" max="1" min="1" style="1025" width="10.6117647058824"/>
    <col collapsed="false" hidden="false" max="2" min="2" style="1025" width="39.7333333333333"/>
    <col collapsed="false" hidden="false" max="3" min="3" style="1025" width="19.5058823529412"/>
    <col collapsed="false" hidden="false" max="4" min="4" style="1025" width="25.3843137254902"/>
    <col collapsed="false" hidden="false" max="5" min="5" style="1025" width="11.7607843137255"/>
    <col collapsed="false" hidden="false" max="6" min="6" style="1025" width="9.03529411764706"/>
    <col collapsed="false" hidden="false" max="7" min="7" style="1025" width="10.1843137254902"/>
    <col collapsed="false" hidden="false" max="19" min="8" style="1025" width="7.74509803921569"/>
    <col collapsed="false" hidden="false" max="20" min="20" style="1025" width="41.4549019607843"/>
    <col collapsed="false" hidden="false" max="257" min="21" style="1025" width="11.4745098039216"/>
  </cols>
  <sheetData>
    <row collapsed="false" customFormat="true" customHeight="true" hidden="false" ht="24.75" outlineLevel="0" r="1" s="1027">
      <c r="A1" s="1026" t="s">
        <v>6</v>
      </c>
      <c r="B1" s="1026"/>
      <c r="C1" s="1026"/>
      <c r="D1" s="1026"/>
      <c r="E1" s="1026"/>
      <c r="F1" s="1026"/>
      <c r="G1" s="1026"/>
      <c r="H1" s="1026"/>
      <c r="I1" s="1026"/>
      <c r="J1" s="1026"/>
      <c r="K1" s="1026"/>
      <c r="L1" s="1026"/>
      <c r="M1" s="1026"/>
      <c r="N1" s="1026"/>
      <c r="O1" s="1026"/>
      <c r="P1" s="1026"/>
      <c r="Q1" s="1026"/>
      <c r="R1" s="1026"/>
      <c r="S1" s="1026"/>
      <c r="T1" s="1026"/>
    </row>
    <row collapsed="false" customFormat="true" customHeight="true" hidden="false" ht="20.25" outlineLevel="0" r="2" s="1027">
      <c r="A2" s="1026" t="s">
        <v>842</v>
      </c>
      <c r="B2" s="1026"/>
      <c r="C2" s="1026"/>
      <c r="D2" s="1026"/>
      <c r="E2" s="1026"/>
      <c r="F2" s="1026"/>
      <c r="G2" s="1026"/>
      <c r="H2" s="1026"/>
      <c r="I2" s="1026"/>
      <c r="J2" s="1026"/>
      <c r="K2" s="1026"/>
      <c r="L2" s="1026"/>
      <c r="M2" s="1026"/>
      <c r="N2" s="1026"/>
      <c r="O2" s="1026"/>
      <c r="P2" s="1026"/>
      <c r="Q2" s="1026"/>
      <c r="R2" s="1026"/>
      <c r="S2" s="1026"/>
      <c r="T2" s="1026"/>
    </row>
    <row collapsed="false" customFormat="true" customHeight="true" hidden="false" ht="24" outlineLevel="0" r="3" s="1027">
      <c r="A3" s="1026" t="s">
        <v>9</v>
      </c>
      <c r="B3" s="1026"/>
      <c r="C3" s="1026"/>
      <c r="D3" s="1026"/>
      <c r="E3" s="1026"/>
      <c r="F3" s="1026"/>
      <c r="G3" s="1026"/>
      <c r="H3" s="1026"/>
      <c r="I3" s="1026"/>
      <c r="J3" s="1026"/>
      <c r="K3" s="1026"/>
      <c r="L3" s="1026"/>
      <c r="M3" s="1026"/>
      <c r="N3" s="1026"/>
      <c r="O3" s="1026"/>
      <c r="P3" s="1026"/>
      <c r="Q3" s="1026"/>
      <c r="R3" s="1026"/>
      <c r="S3" s="1026"/>
      <c r="T3" s="1026"/>
    </row>
    <row collapsed="false" customFormat="true" customHeight="true" hidden="false" ht="6" outlineLevel="0" r="4" s="1027">
      <c r="A4" s="1028"/>
      <c r="B4" s="1029"/>
      <c r="C4" s="1029"/>
      <c r="D4" s="1029"/>
      <c r="E4" s="1029"/>
      <c r="F4" s="1029"/>
      <c r="G4" s="1029"/>
      <c r="H4" s="1029"/>
      <c r="I4" s="1029"/>
      <c r="J4" s="1029"/>
      <c r="K4" s="1028"/>
      <c r="L4" s="1028"/>
      <c r="M4" s="1028"/>
      <c r="N4" s="1028"/>
      <c r="O4" s="1028"/>
      <c r="P4" s="1028"/>
      <c r="Q4" s="1028"/>
      <c r="R4" s="1028"/>
      <c r="S4" s="1028"/>
      <c r="T4" s="1028"/>
    </row>
    <row collapsed="false" customFormat="false" customHeight="true" hidden="false" ht="18" outlineLevel="0" r="5">
      <c r="A5" s="1026" t="s">
        <v>843</v>
      </c>
      <c r="B5" s="1026"/>
      <c r="C5" s="1026"/>
      <c r="D5" s="1026"/>
      <c r="E5" s="1026"/>
      <c r="F5" s="1026"/>
      <c r="G5" s="1026"/>
      <c r="H5" s="1026"/>
      <c r="I5" s="1026"/>
      <c r="J5" s="1026"/>
      <c r="K5" s="1026"/>
      <c r="L5" s="1026"/>
      <c r="M5" s="1026"/>
      <c r="N5" s="1026"/>
      <c r="O5" s="1026"/>
      <c r="P5" s="1026"/>
      <c r="Q5" s="1026"/>
      <c r="R5" s="1026"/>
      <c r="S5" s="1026"/>
      <c r="T5" s="1026"/>
    </row>
    <row collapsed="false" customFormat="false" customHeight="true" hidden="false" ht="18" outlineLevel="0" r="6">
      <c r="A6" s="1030"/>
      <c r="B6" s="1030"/>
      <c r="C6" s="1030"/>
      <c r="D6" s="1030"/>
      <c r="E6" s="1030"/>
      <c r="F6" s="1030"/>
      <c r="G6" s="1030"/>
      <c r="H6" s="1030"/>
      <c r="I6" s="1030"/>
      <c r="J6" s="1030"/>
      <c r="K6" s="1030"/>
      <c r="L6" s="1030"/>
      <c r="M6" s="1030"/>
      <c r="N6" s="1030"/>
      <c r="O6" s="1030"/>
      <c r="P6" s="1030"/>
      <c r="Q6" s="1030"/>
      <c r="R6" s="1030"/>
      <c r="S6" s="1029"/>
      <c r="T6" s="1029"/>
    </row>
    <row collapsed="false" customFormat="false" customHeight="true" hidden="false" ht="21" outlineLevel="0" r="8">
      <c r="A8" s="1031" t="s">
        <v>844</v>
      </c>
      <c r="B8" s="1032"/>
      <c r="C8" s="1032" t="s">
        <v>654</v>
      </c>
      <c r="D8" s="1032" t="s">
        <v>845</v>
      </c>
      <c r="E8" s="1032" t="s">
        <v>846</v>
      </c>
      <c r="F8" s="1033" t="s">
        <v>847</v>
      </c>
      <c r="G8" s="1033"/>
      <c r="H8" s="1034" t="s">
        <v>848</v>
      </c>
      <c r="I8" s="1034"/>
      <c r="J8" s="1034"/>
      <c r="K8" s="1034" t="s">
        <v>849</v>
      </c>
      <c r="L8" s="1034"/>
      <c r="M8" s="1034"/>
      <c r="N8" s="1034" t="s">
        <v>850</v>
      </c>
      <c r="O8" s="1034"/>
      <c r="P8" s="1034"/>
      <c r="Q8" s="1034" t="s">
        <v>851</v>
      </c>
      <c r="R8" s="1034"/>
      <c r="S8" s="1034"/>
      <c r="T8" s="1035" t="s">
        <v>852</v>
      </c>
    </row>
    <row collapsed="false" customFormat="false" customHeight="true" hidden="false" ht="29.25" outlineLevel="0" r="9">
      <c r="A9" s="1031"/>
      <c r="B9" s="1032"/>
      <c r="C9" s="1032"/>
      <c r="D9" s="1032"/>
      <c r="E9" s="1032"/>
      <c r="F9" s="1036" t="s">
        <v>853</v>
      </c>
      <c r="G9" s="1036" t="s">
        <v>854</v>
      </c>
      <c r="H9" s="1037" t="s">
        <v>818</v>
      </c>
      <c r="I9" s="1037" t="s">
        <v>819</v>
      </c>
      <c r="J9" s="1037" t="s">
        <v>820</v>
      </c>
      <c r="K9" s="1037" t="s">
        <v>818</v>
      </c>
      <c r="L9" s="1037" t="s">
        <v>819</v>
      </c>
      <c r="M9" s="1037" t="s">
        <v>820</v>
      </c>
      <c r="N9" s="1037" t="s">
        <v>818</v>
      </c>
      <c r="O9" s="1037" t="s">
        <v>819</v>
      </c>
      <c r="P9" s="1037" t="s">
        <v>820</v>
      </c>
      <c r="Q9" s="1037" t="s">
        <v>818</v>
      </c>
      <c r="R9" s="1037" t="s">
        <v>819</v>
      </c>
      <c r="S9" s="1037" t="s">
        <v>820</v>
      </c>
      <c r="T9" s="1035"/>
    </row>
    <row collapsed="false" customFormat="true" customHeight="true" hidden="false" ht="43.5" outlineLevel="0" r="10" s="1043">
      <c r="A10" s="1038" t="n">
        <v>1</v>
      </c>
      <c r="B10" s="1039" t="s">
        <v>855</v>
      </c>
      <c r="C10" s="1039"/>
      <c r="D10" s="1039"/>
      <c r="E10" s="1040"/>
      <c r="F10" s="1040"/>
      <c r="G10" s="1040"/>
      <c r="H10" s="1040"/>
      <c r="I10" s="1040"/>
      <c r="J10" s="1041"/>
      <c r="K10" s="1040"/>
      <c r="L10" s="1040"/>
      <c r="M10" s="1041"/>
      <c r="N10" s="1040"/>
      <c r="O10" s="1040"/>
      <c r="P10" s="1041"/>
      <c r="Q10" s="1040"/>
      <c r="R10" s="1040"/>
      <c r="S10" s="1041"/>
      <c r="T10" s="1042"/>
    </row>
    <row collapsed="false" customFormat="false" customHeight="true" hidden="false" ht="77.25" outlineLevel="0" r="11">
      <c r="A11" s="1044" t="n">
        <v>1.1</v>
      </c>
      <c r="B11" s="1045" t="s">
        <v>856</v>
      </c>
      <c r="C11" s="1046"/>
      <c r="D11" s="1046"/>
      <c r="E11" s="1047"/>
      <c r="F11" s="1047"/>
      <c r="G11" s="1047"/>
      <c r="H11" s="1047"/>
      <c r="I11" s="1047"/>
      <c r="J11" s="1048" t="e">
        <f aca="false">I11/H11</f>
        <v>#DIV/0!</v>
      </c>
      <c r="K11" s="1047"/>
      <c r="L11" s="1047"/>
      <c r="M11" s="1048" t="e">
        <f aca="false">L11/K11</f>
        <v>#DIV/0!</v>
      </c>
      <c r="N11" s="1047"/>
      <c r="O11" s="1047"/>
      <c r="P11" s="1048" t="e">
        <f aca="false">O11/N11</f>
        <v>#DIV/0!</v>
      </c>
      <c r="Q11" s="1049"/>
      <c r="R11" s="1049"/>
      <c r="S11" s="1048" t="e">
        <f aca="false">R11/Q11</f>
        <v>#DIV/0!</v>
      </c>
      <c r="T11" s="1050"/>
    </row>
    <row collapsed="false" customFormat="false" customHeight="true" hidden="false" ht="107.25" outlineLevel="0" r="12">
      <c r="A12" s="1051" t="s">
        <v>342</v>
      </c>
      <c r="B12" s="1052" t="s">
        <v>857</v>
      </c>
      <c r="C12" s="1053" t="s">
        <v>858</v>
      </c>
      <c r="D12" s="1054" t="s">
        <v>859</v>
      </c>
      <c r="E12" s="1054" t="s">
        <v>860</v>
      </c>
      <c r="F12" s="1054" t="s">
        <v>861</v>
      </c>
      <c r="G12" s="1055" t="s">
        <v>350</v>
      </c>
      <c r="H12" s="1055" t="s">
        <v>350</v>
      </c>
      <c r="I12" s="1055"/>
      <c r="J12" s="1056" t="e">
        <f aca="false">I12/H12</f>
        <v>#VALUE!</v>
      </c>
      <c r="K12" s="1055" t="s">
        <v>350</v>
      </c>
      <c r="L12" s="1055"/>
      <c r="M12" s="1056" t="e">
        <f aca="false">L12/K12</f>
        <v>#VALUE!</v>
      </c>
      <c r="N12" s="1055" t="s">
        <v>350</v>
      </c>
      <c r="O12" s="1055"/>
      <c r="P12" s="1056" t="e">
        <f aca="false">O12/N12</f>
        <v>#VALUE!</v>
      </c>
      <c r="Q12" s="1055" t="s">
        <v>350</v>
      </c>
      <c r="R12" s="1055"/>
      <c r="S12" s="1056" t="e">
        <f aca="false">R12/Q12</f>
        <v>#VALUE!</v>
      </c>
      <c r="T12" s="1057"/>
    </row>
    <row collapsed="false" customFormat="false" customHeight="true" hidden="false" ht="111" outlineLevel="0" r="13">
      <c r="A13" s="1051" t="s">
        <v>344</v>
      </c>
      <c r="B13" s="1052" t="s">
        <v>862</v>
      </c>
      <c r="C13" s="1053" t="s">
        <v>863</v>
      </c>
      <c r="D13" s="1054" t="s">
        <v>864</v>
      </c>
      <c r="E13" s="1054" t="s">
        <v>865</v>
      </c>
      <c r="F13" s="1054" t="s">
        <v>866</v>
      </c>
      <c r="G13" s="1055" t="s">
        <v>597</v>
      </c>
      <c r="H13" s="1055" t="s">
        <v>597</v>
      </c>
      <c r="I13" s="1055"/>
      <c r="J13" s="1056" t="e">
        <f aca="false">I13/H13</f>
        <v>#VALUE!</v>
      </c>
      <c r="K13" s="1055" t="s">
        <v>597</v>
      </c>
      <c r="L13" s="1055"/>
      <c r="M13" s="1056" t="e">
        <f aca="false">L13/K13</f>
        <v>#VALUE!</v>
      </c>
      <c r="N13" s="1055" t="s">
        <v>597</v>
      </c>
      <c r="O13" s="1055"/>
      <c r="P13" s="1056" t="e">
        <f aca="false">O13/N13</f>
        <v>#VALUE!</v>
      </c>
      <c r="Q13" s="1055" t="s">
        <v>597</v>
      </c>
      <c r="R13" s="1055"/>
      <c r="S13" s="1056" t="e">
        <f aca="false">R13/Q13</f>
        <v>#VALUE!</v>
      </c>
      <c r="T13" s="1057"/>
    </row>
    <row collapsed="false" customFormat="false" customHeight="true" hidden="false" ht="81.75" outlineLevel="0" r="14">
      <c r="A14" s="1051" t="s">
        <v>361</v>
      </c>
      <c r="B14" s="1058" t="s">
        <v>867</v>
      </c>
      <c r="C14" s="1053" t="s">
        <v>868</v>
      </c>
      <c r="D14" s="1054" t="s">
        <v>869</v>
      </c>
      <c r="E14" s="1054" t="s">
        <v>870</v>
      </c>
      <c r="F14" s="1054" t="s">
        <v>871</v>
      </c>
      <c r="G14" s="1055" t="s">
        <v>597</v>
      </c>
      <c r="H14" s="1055"/>
      <c r="I14" s="1055"/>
      <c r="J14" s="1056" t="e">
        <f aca="false">I14/H14</f>
        <v>#DIV/0!</v>
      </c>
      <c r="K14" s="1055"/>
      <c r="L14" s="1055"/>
      <c r="M14" s="1056" t="e">
        <f aca="false">L14/K14</f>
        <v>#DIV/0!</v>
      </c>
      <c r="N14" s="1055"/>
      <c r="O14" s="1055"/>
      <c r="P14" s="1056" t="e">
        <f aca="false">O14/N14</f>
        <v>#DIV/0!</v>
      </c>
      <c r="Q14" s="1055"/>
      <c r="R14" s="1055"/>
      <c r="S14" s="1056" t="e">
        <f aca="false">R14/Q14</f>
        <v>#DIV/0!</v>
      </c>
      <c r="T14" s="1057"/>
    </row>
    <row collapsed="false" customFormat="false" customHeight="true" hidden="false" ht="72" outlineLevel="0" r="15">
      <c r="A15" s="1051"/>
      <c r="B15" s="1058"/>
      <c r="C15" s="1052" t="s">
        <v>872</v>
      </c>
      <c r="D15" s="1054" t="s">
        <v>873</v>
      </c>
      <c r="E15" s="1054"/>
      <c r="F15" s="1054" t="s">
        <v>874</v>
      </c>
      <c r="G15" s="1059" t="n">
        <v>0.03</v>
      </c>
      <c r="H15" s="1059" t="n">
        <v>0.03</v>
      </c>
      <c r="I15" s="1055"/>
      <c r="J15" s="1056" t="n">
        <f aca="false">I15/H15</f>
        <v>0</v>
      </c>
      <c r="K15" s="1059" t="n">
        <v>0.03</v>
      </c>
      <c r="L15" s="1055"/>
      <c r="M15" s="1056" t="n">
        <f aca="false">L15/K15</f>
        <v>0</v>
      </c>
      <c r="N15" s="1059" t="n">
        <v>0.03</v>
      </c>
      <c r="O15" s="1055"/>
      <c r="P15" s="1056" t="n">
        <f aca="false">O15/N15</f>
        <v>0</v>
      </c>
      <c r="Q15" s="1059" t="n">
        <v>0.03</v>
      </c>
      <c r="R15" s="1055"/>
      <c r="S15" s="1056" t="n">
        <f aca="false">R15/Q15</f>
        <v>0</v>
      </c>
      <c r="T15" s="1057"/>
    </row>
    <row collapsed="false" customFormat="false" customHeight="true" hidden="false" ht="73.5" outlineLevel="0" r="16">
      <c r="A16" s="1044" t="n">
        <v>1.2</v>
      </c>
      <c r="B16" s="1045" t="s">
        <v>875</v>
      </c>
      <c r="C16" s="1046"/>
      <c r="D16" s="1046"/>
      <c r="E16" s="1047"/>
      <c r="F16" s="1047"/>
      <c r="G16" s="1047"/>
      <c r="H16" s="1047"/>
      <c r="I16" s="1047"/>
      <c r="J16" s="1048" t="e">
        <f aca="false">I16/H16</f>
        <v>#DIV/0!</v>
      </c>
      <c r="K16" s="1047"/>
      <c r="L16" s="1047"/>
      <c r="M16" s="1048" t="e">
        <f aca="false">L16/K16</f>
        <v>#DIV/0!</v>
      </c>
      <c r="N16" s="1047"/>
      <c r="O16" s="1047"/>
      <c r="P16" s="1048" t="e">
        <f aca="false">O16/N16</f>
        <v>#DIV/0!</v>
      </c>
      <c r="Q16" s="1047"/>
      <c r="R16" s="1047"/>
      <c r="S16" s="1048" t="e">
        <f aca="false">R16/Q16</f>
        <v>#DIV/0!</v>
      </c>
      <c r="T16" s="1060"/>
    </row>
    <row collapsed="false" customFormat="false" customHeight="true" hidden="false" ht="109.5" outlineLevel="0" r="17">
      <c r="A17" s="1051" t="s">
        <v>368</v>
      </c>
      <c r="B17" s="1052" t="s">
        <v>876</v>
      </c>
      <c r="C17" s="1052" t="s">
        <v>877</v>
      </c>
      <c r="D17" s="1054" t="s">
        <v>878</v>
      </c>
      <c r="E17" s="1054" t="s">
        <v>879</v>
      </c>
      <c r="F17" s="1054" t="s">
        <v>880</v>
      </c>
      <c r="G17" s="1055" t="n">
        <v>60</v>
      </c>
      <c r="H17" s="1055" t="n">
        <v>60</v>
      </c>
      <c r="I17" s="1055" t="n">
        <f aca="false">108/2</f>
        <v>54</v>
      </c>
      <c r="J17" s="1056" t="n">
        <f aca="false">I17/H17</f>
        <v>0.9</v>
      </c>
      <c r="K17" s="1055" t="n">
        <v>60</v>
      </c>
      <c r="L17" s="1055"/>
      <c r="M17" s="1056" t="n">
        <f aca="false">L17/K17</f>
        <v>0</v>
      </c>
      <c r="N17" s="1055" t="n">
        <v>60</v>
      </c>
      <c r="O17" s="1055"/>
      <c r="P17" s="1056" t="n">
        <f aca="false">O17/N17</f>
        <v>0</v>
      </c>
      <c r="Q17" s="1055" t="n">
        <v>60</v>
      </c>
      <c r="R17" s="1055"/>
      <c r="S17" s="1056" t="n">
        <f aca="false">R17/Q17</f>
        <v>0</v>
      </c>
      <c r="T17" s="1057"/>
    </row>
    <row collapsed="false" customFormat="false" customHeight="true" hidden="false" ht="95.25" outlineLevel="0" r="18">
      <c r="A18" s="1051" t="s">
        <v>370</v>
      </c>
      <c r="B18" s="1052" t="s">
        <v>881</v>
      </c>
      <c r="C18" s="1052" t="s">
        <v>882</v>
      </c>
      <c r="D18" s="1054" t="s">
        <v>883</v>
      </c>
      <c r="E18" s="1054" t="s">
        <v>884</v>
      </c>
      <c r="F18" s="1054" t="s">
        <v>885</v>
      </c>
      <c r="G18" s="1059" t="n">
        <v>1</v>
      </c>
      <c r="H18" s="1059" t="s">
        <v>350</v>
      </c>
      <c r="I18" s="1055"/>
      <c r="J18" s="1056" t="e">
        <f aca="false">I18/H18</f>
        <v>#VALUE!</v>
      </c>
      <c r="K18" s="1059" t="n">
        <v>0.25</v>
      </c>
      <c r="L18" s="1055"/>
      <c r="M18" s="1056" t="n">
        <f aca="false">L18/K18</f>
        <v>0</v>
      </c>
      <c r="N18" s="1059" t="n">
        <v>0.5</v>
      </c>
      <c r="O18" s="1055"/>
      <c r="P18" s="1056" t="n">
        <f aca="false">O18/N18</f>
        <v>0</v>
      </c>
      <c r="Q18" s="1059" t="n">
        <v>0.25</v>
      </c>
      <c r="R18" s="1055"/>
      <c r="S18" s="1056" t="n">
        <f aca="false">R18/Q18</f>
        <v>0</v>
      </c>
      <c r="T18" s="1057"/>
    </row>
    <row collapsed="false" customFormat="false" customHeight="true" hidden="false" ht="90" outlineLevel="0" r="19">
      <c r="A19" s="1051" t="s">
        <v>886</v>
      </c>
      <c r="B19" s="1052" t="s">
        <v>887</v>
      </c>
      <c r="C19" s="1052" t="s">
        <v>888</v>
      </c>
      <c r="D19" s="1054" t="s">
        <v>883</v>
      </c>
      <c r="E19" s="1054" t="s">
        <v>889</v>
      </c>
      <c r="F19" s="1054" t="s">
        <v>885</v>
      </c>
      <c r="G19" s="1059" t="n">
        <v>1</v>
      </c>
      <c r="H19" s="1055" t="s">
        <v>350</v>
      </c>
      <c r="I19" s="1055"/>
      <c r="J19" s="1056"/>
      <c r="K19" s="1059" t="n">
        <v>0.25</v>
      </c>
      <c r="L19" s="1055"/>
      <c r="M19" s="1056"/>
      <c r="N19" s="1059" t="n">
        <v>0.5</v>
      </c>
      <c r="O19" s="1055"/>
      <c r="P19" s="1056"/>
      <c r="Q19" s="1059" t="n">
        <v>0.25</v>
      </c>
      <c r="R19" s="1055"/>
      <c r="S19" s="1056"/>
      <c r="T19" s="1057"/>
    </row>
    <row collapsed="false" customFormat="false" customHeight="true" hidden="false" ht="61.5" outlineLevel="0" r="20">
      <c r="A20" s="1051" t="s">
        <v>890</v>
      </c>
      <c r="B20" s="1052" t="s">
        <v>891</v>
      </c>
      <c r="C20" s="1052" t="s">
        <v>892</v>
      </c>
      <c r="D20" s="1054" t="s">
        <v>893</v>
      </c>
      <c r="E20" s="1054" t="s">
        <v>894</v>
      </c>
      <c r="F20" s="1054" t="s">
        <v>895</v>
      </c>
      <c r="G20" s="1055" t="n">
        <v>3</v>
      </c>
      <c r="H20" s="1055"/>
      <c r="I20" s="1055"/>
      <c r="J20" s="1056" t="e">
        <f aca="false">I20/H20</f>
        <v>#DIV/0!</v>
      </c>
      <c r="K20" s="1055" t="n">
        <v>1</v>
      </c>
      <c r="L20" s="1055"/>
      <c r="M20" s="1056" t="n">
        <f aca="false">L20/K20</f>
        <v>0</v>
      </c>
      <c r="N20" s="1055" t="n">
        <v>1</v>
      </c>
      <c r="O20" s="1055"/>
      <c r="P20" s="1056" t="n">
        <f aca="false">O20/N20</f>
        <v>0</v>
      </c>
      <c r="Q20" s="1055" t="n">
        <v>1</v>
      </c>
      <c r="R20" s="1055"/>
      <c r="S20" s="1056" t="n">
        <f aca="false">R20/Q20</f>
        <v>0</v>
      </c>
      <c r="T20" s="1057"/>
    </row>
    <row collapsed="false" customFormat="true" customHeight="true" hidden="false" ht="45.75" outlineLevel="0" r="21" s="1043">
      <c r="A21" s="1038" t="n">
        <v>2</v>
      </c>
      <c r="B21" s="1039" t="s">
        <v>896</v>
      </c>
      <c r="C21" s="1039"/>
      <c r="D21" s="1039"/>
      <c r="E21" s="1061"/>
      <c r="F21" s="1061"/>
      <c r="G21" s="1061"/>
      <c r="H21" s="1061"/>
      <c r="I21" s="1061"/>
      <c r="J21" s="1062"/>
      <c r="K21" s="1061"/>
      <c r="L21" s="1061"/>
      <c r="M21" s="1062"/>
      <c r="N21" s="1061"/>
      <c r="O21" s="1061"/>
      <c r="P21" s="1062"/>
      <c r="Q21" s="1061"/>
      <c r="R21" s="1061"/>
      <c r="S21" s="1062"/>
      <c r="T21" s="1042"/>
    </row>
    <row collapsed="false" customFormat="true" customHeight="true" hidden="false" ht="69.75" outlineLevel="0" r="22" s="1043">
      <c r="A22" s="1044" t="n">
        <v>2.1</v>
      </c>
      <c r="B22" s="1045" t="s">
        <v>897</v>
      </c>
      <c r="C22" s="1046"/>
      <c r="D22" s="1046"/>
      <c r="E22" s="1063"/>
      <c r="F22" s="1063"/>
      <c r="G22" s="1063"/>
      <c r="H22" s="1063"/>
      <c r="I22" s="1063"/>
      <c r="J22" s="1048" t="e">
        <f aca="false">I22/H22</f>
        <v>#DIV/0!</v>
      </c>
      <c r="K22" s="1063"/>
      <c r="L22" s="1063"/>
      <c r="M22" s="1048" t="e">
        <f aca="false">L22/K22</f>
        <v>#DIV/0!</v>
      </c>
      <c r="N22" s="1063"/>
      <c r="O22" s="1063"/>
      <c r="P22" s="1048" t="e">
        <f aca="false">O22/N22</f>
        <v>#DIV/0!</v>
      </c>
      <c r="Q22" s="1063"/>
      <c r="R22" s="1063"/>
      <c r="S22" s="1048" t="e">
        <f aca="false">R22/Q22</f>
        <v>#DIV/0!</v>
      </c>
      <c r="T22" s="1064"/>
    </row>
    <row collapsed="false" customFormat="true" customHeight="true" hidden="false" ht="46.5" outlineLevel="0" r="23" s="1043">
      <c r="A23" s="1065" t="s">
        <v>391</v>
      </c>
      <c r="B23" s="1052" t="s">
        <v>898</v>
      </c>
      <c r="C23" s="1052" t="s">
        <v>899</v>
      </c>
      <c r="D23" s="1054" t="s">
        <v>900</v>
      </c>
      <c r="E23" s="1054" t="s">
        <v>901</v>
      </c>
      <c r="F23" s="1054" t="s">
        <v>902</v>
      </c>
      <c r="G23" s="1059" t="n">
        <v>0.2</v>
      </c>
      <c r="H23" s="1059" t="n">
        <v>0.05</v>
      </c>
      <c r="I23" s="1055"/>
      <c r="J23" s="1056" t="n">
        <f aca="false">I23/H23</f>
        <v>0</v>
      </c>
      <c r="K23" s="1059" t="n">
        <v>0.05</v>
      </c>
      <c r="L23" s="1055"/>
      <c r="M23" s="1056" t="n">
        <f aca="false">L23/K23</f>
        <v>0</v>
      </c>
      <c r="N23" s="1059" t="n">
        <v>0.05</v>
      </c>
      <c r="O23" s="1055"/>
      <c r="P23" s="1056" t="n">
        <f aca="false">O23/N23</f>
        <v>0</v>
      </c>
      <c r="Q23" s="1059" t="n">
        <v>0.05</v>
      </c>
      <c r="R23" s="1055"/>
      <c r="S23" s="1056" t="n">
        <f aca="false">R23/Q23</f>
        <v>0</v>
      </c>
      <c r="T23" s="1057"/>
    </row>
    <row collapsed="false" customFormat="true" customHeight="true" hidden="false" ht="51.75" outlineLevel="0" r="24" s="1043">
      <c r="A24" s="1038" t="n">
        <v>3</v>
      </c>
      <c r="B24" s="1039" t="s">
        <v>903</v>
      </c>
      <c r="C24" s="1039"/>
      <c r="D24" s="1039"/>
      <c r="E24" s="1061"/>
      <c r="F24" s="1061"/>
      <c r="G24" s="1061"/>
      <c r="H24" s="1061"/>
      <c r="I24" s="1061"/>
      <c r="J24" s="1062"/>
      <c r="K24" s="1061"/>
      <c r="L24" s="1061"/>
      <c r="M24" s="1062"/>
      <c r="N24" s="1061"/>
      <c r="O24" s="1061"/>
      <c r="P24" s="1062"/>
      <c r="Q24" s="1061"/>
      <c r="R24" s="1061"/>
      <c r="S24" s="1062"/>
      <c r="T24" s="1042"/>
    </row>
    <row collapsed="false" customFormat="true" customHeight="true" hidden="false" ht="42.75" outlineLevel="0" r="25" s="1043">
      <c r="A25" s="1066" t="n">
        <v>2.2</v>
      </c>
      <c r="B25" s="1045" t="s">
        <v>904</v>
      </c>
      <c r="C25" s="1046"/>
      <c r="D25" s="1046"/>
      <c r="E25" s="1063"/>
      <c r="F25" s="1063"/>
      <c r="G25" s="1063"/>
      <c r="H25" s="1063"/>
      <c r="I25" s="1063"/>
      <c r="J25" s="1048" t="e">
        <f aca="false">I25/H25</f>
        <v>#DIV/0!</v>
      </c>
      <c r="K25" s="1063"/>
      <c r="L25" s="1063"/>
      <c r="M25" s="1048" t="e">
        <f aca="false">L25/K25</f>
        <v>#DIV/0!</v>
      </c>
      <c r="N25" s="1063"/>
      <c r="O25" s="1063"/>
      <c r="P25" s="1048" t="e">
        <f aca="false">O25/N25</f>
        <v>#DIV/0!</v>
      </c>
      <c r="Q25" s="1063"/>
      <c r="R25" s="1063"/>
      <c r="S25" s="1048" t="e">
        <f aca="false">R25/Q25</f>
        <v>#DIV/0!</v>
      </c>
      <c r="T25" s="1064"/>
    </row>
    <row collapsed="false" customFormat="true" customHeight="false" hidden="false" ht="39.55" outlineLevel="0" r="26" s="1043">
      <c r="A26" s="1051" t="s">
        <v>421</v>
      </c>
      <c r="B26" s="1052" t="s">
        <v>905</v>
      </c>
      <c r="C26" s="1052" t="s">
        <v>906</v>
      </c>
      <c r="D26" s="1054" t="s">
        <v>907</v>
      </c>
      <c r="E26" s="1054" t="s">
        <v>908</v>
      </c>
      <c r="F26" s="1054" t="s">
        <v>909</v>
      </c>
      <c r="G26" s="1055" t="n">
        <v>8</v>
      </c>
      <c r="H26" s="1055" t="n">
        <v>2</v>
      </c>
      <c r="I26" s="1055"/>
      <c r="J26" s="1056" t="n">
        <f aca="false">I26/H26</f>
        <v>0</v>
      </c>
      <c r="K26" s="1055" t="n">
        <v>2</v>
      </c>
      <c r="L26" s="1055"/>
      <c r="M26" s="1056" t="n">
        <f aca="false">L26/K26</f>
        <v>0</v>
      </c>
      <c r="N26" s="1055" t="n">
        <v>2</v>
      </c>
      <c r="O26" s="1055"/>
      <c r="P26" s="1056" t="n">
        <f aca="false">O26/N26</f>
        <v>0</v>
      </c>
      <c r="Q26" s="1055" t="n">
        <v>2</v>
      </c>
      <c r="R26" s="1055"/>
      <c r="S26" s="1056" t="n">
        <f aca="false">R26/Q26</f>
        <v>0</v>
      </c>
      <c r="T26" s="1057"/>
    </row>
    <row collapsed="false" customFormat="true" customHeight="true" hidden="false" ht="52.5" outlineLevel="0" r="27" s="1043">
      <c r="A27" s="1051" t="s">
        <v>423</v>
      </c>
      <c r="B27" s="1058" t="s">
        <v>910</v>
      </c>
      <c r="C27" s="1052" t="s">
        <v>911</v>
      </c>
      <c r="D27" s="1054" t="s">
        <v>912</v>
      </c>
      <c r="E27" s="1054" t="s">
        <v>913</v>
      </c>
      <c r="F27" s="1054" t="s">
        <v>914</v>
      </c>
      <c r="G27" s="1055" t="n">
        <v>30</v>
      </c>
      <c r="H27" s="1055" t="n">
        <v>10</v>
      </c>
      <c r="I27" s="1055"/>
      <c r="J27" s="1056"/>
      <c r="K27" s="1055" t="n">
        <v>5</v>
      </c>
      <c r="L27" s="1055"/>
      <c r="M27" s="1056"/>
      <c r="N27" s="1055" t="n">
        <v>10</v>
      </c>
      <c r="O27" s="1055"/>
      <c r="P27" s="1056"/>
      <c r="Q27" s="1055" t="n">
        <v>5</v>
      </c>
      <c r="R27" s="1055"/>
      <c r="S27" s="1056"/>
      <c r="T27" s="1057"/>
    </row>
    <row collapsed="false" customFormat="true" customHeight="false" hidden="false" ht="52.2" outlineLevel="0" r="28" s="1043">
      <c r="A28" s="1051"/>
      <c r="B28" s="1058"/>
      <c r="C28" s="1052" t="s">
        <v>915</v>
      </c>
      <c r="D28" s="1054"/>
      <c r="E28" s="1054"/>
      <c r="F28" s="1054" t="s">
        <v>916</v>
      </c>
      <c r="G28" s="1059" t="s">
        <v>597</v>
      </c>
      <c r="H28" s="1059" t="s">
        <v>597</v>
      </c>
      <c r="I28" s="1055"/>
      <c r="J28" s="1056" t="e">
        <f aca="false">I28/H28</f>
        <v>#VALUE!</v>
      </c>
      <c r="K28" s="1059"/>
      <c r="L28" s="1055"/>
      <c r="M28" s="1056" t="e">
        <f aca="false">L28/K28</f>
        <v>#DIV/0!</v>
      </c>
      <c r="N28" s="1059"/>
      <c r="O28" s="1055"/>
      <c r="P28" s="1056" t="e">
        <f aca="false">O28/N28</f>
        <v>#DIV/0!</v>
      </c>
      <c r="Q28" s="1059"/>
      <c r="R28" s="1055"/>
      <c r="S28" s="1056" t="e">
        <f aca="false">R28/Q28</f>
        <v>#DIV/0!</v>
      </c>
      <c r="T28" s="1057"/>
    </row>
    <row collapsed="false" customFormat="true" customHeight="true" hidden="false" ht="87" outlineLevel="0" r="29" s="1043">
      <c r="A29" s="1051" t="s">
        <v>425</v>
      </c>
      <c r="B29" s="1052" t="s">
        <v>917</v>
      </c>
      <c r="C29" s="1052" t="s">
        <v>918</v>
      </c>
      <c r="D29" s="1054" t="s">
        <v>919</v>
      </c>
      <c r="E29" s="1054" t="s">
        <v>920</v>
      </c>
      <c r="F29" s="1054" t="s">
        <v>921</v>
      </c>
      <c r="G29" s="1055" t="s">
        <v>597</v>
      </c>
      <c r="H29" s="1055" t="s">
        <v>597</v>
      </c>
      <c r="I29" s="1055"/>
      <c r="J29" s="1056" t="e">
        <f aca="false">I29/H29</f>
        <v>#VALUE!</v>
      </c>
      <c r="K29" s="1055"/>
      <c r="L29" s="1055"/>
      <c r="M29" s="1056" t="e">
        <f aca="false">L29/K29</f>
        <v>#DIV/0!</v>
      </c>
      <c r="N29" s="1055"/>
      <c r="O29" s="1055"/>
      <c r="P29" s="1056" t="e">
        <f aca="false">O29/N29</f>
        <v>#DIV/0!</v>
      </c>
      <c r="Q29" s="1055"/>
      <c r="R29" s="1055"/>
      <c r="S29" s="1056" t="e">
        <f aca="false">R29/Q29</f>
        <v>#DIV/0!</v>
      </c>
      <c r="T29" s="1057"/>
    </row>
    <row collapsed="false" customFormat="true" customHeight="true" hidden="false" ht="42.75" outlineLevel="0" r="30" s="1043">
      <c r="A30" s="1051" t="s">
        <v>427</v>
      </c>
      <c r="B30" s="1052" t="s">
        <v>922</v>
      </c>
      <c r="C30" s="1052" t="s">
        <v>923</v>
      </c>
      <c r="D30" s="1054" t="s">
        <v>924</v>
      </c>
      <c r="E30" s="1054" t="s">
        <v>925</v>
      </c>
      <c r="F30" s="1054" t="s">
        <v>926</v>
      </c>
      <c r="G30" s="1059" t="n">
        <v>0.8</v>
      </c>
      <c r="H30" s="1059" t="n">
        <v>0.8</v>
      </c>
      <c r="I30" s="1055"/>
      <c r="J30" s="1056" t="n">
        <f aca="false">I30/H30</f>
        <v>0</v>
      </c>
      <c r="K30" s="1059" t="n">
        <v>0.8</v>
      </c>
      <c r="L30" s="1055"/>
      <c r="M30" s="1056" t="n">
        <f aca="false">L30/K30</f>
        <v>0</v>
      </c>
      <c r="N30" s="1059" t="n">
        <v>0.8</v>
      </c>
      <c r="O30" s="1055"/>
      <c r="P30" s="1056" t="n">
        <f aca="false">O30/N30</f>
        <v>0</v>
      </c>
      <c r="Q30" s="1059" t="n">
        <v>0.8</v>
      </c>
      <c r="R30" s="1055"/>
      <c r="S30" s="1056" t="n">
        <f aca="false">R30/Q30</f>
        <v>0</v>
      </c>
      <c r="T30" s="1057"/>
    </row>
    <row collapsed="false" customFormat="false" customHeight="false" hidden="false" ht="14.15" outlineLevel="0" r="31">
      <c r="A31" s="1067"/>
      <c r="B31" s="1068"/>
      <c r="C31" s="1068"/>
      <c r="D31" s="1069"/>
      <c r="E31" s="1069"/>
      <c r="F31" s="1069"/>
      <c r="G31" s="1069"/>
      <c r="H31" s="1069"/>
      <c r="I31" s="1069"/>
      <c r="J31" s="1070" t="e">
        <f aca="false">I31/H31</f>
        <v>#DIV/0!</v>
      </c>
      <c r="K31" s="1069"/>
      <c r="L31" s="1069"/>
      <c r="M31" s="1070" t="e">
        <f aca="false">L31/K31</f>
        <v>#DIV/0!</v>
      </c>
      <c r="N31" s="1069"/>
      <c r="O31" s="1069"/>
      <c r="P31" s="1070" t="e">
        <f aca="false">O31/N31</f>
        <v>#DIV/0!</v>
      </c>
      <c r="Q31" s="1069"/>
      <c r="R31" s="1069"/>
      <c r="S31" s="1070" t="e">
        <f aca="false">R31/Q31</f>
        <v>#DIV/0!</v>
      </c>
      <c r="T31" s="1071"/>
    </row>
  </sheetData>
  <mergeCells count="25">
    <mergeCell ref="A1:T1"/>
    <mergeCell ref="A2:T2"/>
    <mergeCell ref="A3:T3"/>
    <mergeCell ref="A5:T5"/>
    <mergeCell ref="A8:A9"/>
    <mergeCell ref="B8:B9"/>
    <mergeCell ref="C8:C9"/>
    <mergeCell ref="D8:D9"/>
    <mergeCell ref="E8:E9"/>
    <mergeCell ref="F8:G8"/>
    <mergeCell ref="H8:J8"/>
    <mergeCell ref="K8:M8"/>
    <mergeCell ref="N8:P8"/>
    <mergeCell ref="Q8:S8"/>
    <mergeCell ref="T8:T9"/>
    <mergeCell ref="B10:D10"/>
    <mergeCell ref="A14:A15"/>
    <mergeCell ref="B14:B15"/>
    <mergeCell ref="E14:E15"/>
    <mergeCell ref="B21:D21"/>
    <mergeCell ref="B24:D24"/>
    <mergeCell ref="A27:A28"/>
    <mergeCell ref="B27:B28"/>
    <mergeCell ref="D27:D28"/>
    <mergeCell ref="E27:E28"/>
  </mergeCells>
  <printOptions headings="false" gridLines="false" gridLinesSet="true" horizontalCentered="true" verticalCentered="false"/>
  <pageMargins left="0.359722222222222" right="0.196527777777778" top="0.579861111111111" bottom="0.5" header="0.511805555555555" footer="0.511805555555555"/>
  <pageSetup blackAndWhite="false" cellComments="none" copies="1" draft="false" firstPageNumber="0" fitToHeight="1" fitToWidth="1" horizontalDpi="300" orientation="landscape" pageOrder="downThenOver" paperSize="77" scale="50" useFirstPageNumber="false" usePrinterDefaults="false" verticalDpi="300"/>
  <headerFooter differentFirst="false" differentOddEven="false">
    <oddHeader/>
    <oddFooter/>
  </headerFooter>
</worksheet>
</file>

<file path=xl/worksheets/sheet27.xml><?xml version="1.0" encoding="utf-8"?>
<worksheet xmlns="http://schemas.openxmlformats.org/spreadsheetml/2006/main" xmlns:r="http://schemas.openxmlformats.org/officeDocument/2006/relationships">
  <sheetPr filterMode="false">
    <pageSetUpPr fitToPage="false"/>
  </sheetPr>
  <dimension ref="A1:Q39"/>
  <sheetViews>
    <sheetView colorId="64" defaultGridColor="true" rightToLeft="false" showFormulas="false" showGridLines="true" showOutlineSymbols="true" showRowColHeaders="true" showZeros="true" tabSelected="false" topLeftCell="A16" view="normal" windowProtection="false" workbookViewId="0" zoomScale="100" zoomScaleNormal="100" zoomScalePageLayoutView="100">
      <selection activeCell="B31" activeCellId="0" pane="topLeft" sqref="B31"/>
    </sheetView>
  </sheetViews>
  <cols>
    <col collapsed="false" hidden="false" max="1" min="1" style="311" width="11.4745098039216"/>
    <col collapsed="false" hidden="false" max="2" min="2" style="311" width="42.0274509803922"/>
    <col collapsed="false" hidden="false" max="3" min="3" style="311" width="29.6941176470588"/>
    <col collapsed="false" hidden="false" max="4" min="4" style="311" width="18.9294117647059"/>
    <col collapsed="false" hidden="false" max="5" min="5" style="311" width="12.7647058823529"/>
    <col collapsed="false" hidden="false" max="6" min="6" style="311" width="71.721568627451"/>
    <col collapsed="false" hidden="false" max="257" min="7" style="311" width="11.4745098039216"/>
  </cols>
  <sheetData>
    <row collapsed="false" customFormat="false" customHeight="true" hidden="false" ht="26.25" outlineLevel="0" r="1">
      <c r="A1" s="1072" t="s">
        <v>6</v>
      </c>
      <c r="B1" s="1072"/>
      <c r="C1" s="1072"/>
      <c r="D1" s="1072"/>
      <c r="E1" s="1072"/>
      <c r="F1" s="1072"/>
      <c r="G1" s="1073"/>
      <c r="H1" s="1073"/>
      <c r="I1" s="1073"/>
      <c r="J1" s="1073"/>
      <c r="K1" s="1073"/>
      <c r="L1" s="1073"/>
      <c r="M1" s="1073"/>
      <c r="N1" s="1073"/>
      <c r="O1" s="1073"/>
      <c r="P1" s="1073"/>
      <c r="Q1" s="1073"/>
    </row>
    <row collapsed="false" customFormat="false" customHeight="true" hidden="false" ht="23.25" outlineLevel="0" r="2">
      <c r="A2" s="1074" t="s">
        <v>927</v>
      </c>
      <c r="B2" s="1074"/>
      <c r="C2" s="1074"/>
      <c r="D2" s="1074"/>
      <c r="E2" s="1074"/>
      <c r="F2" s="1074"/>
      <c r="G2" s="1075"/>
      <c r="H2" s="1075"/>
      <c r="I2" s="1075"/>
      <c r="J2" s="1075"/>
      <c r="K2" s="1075"/>
      <c r="L2" s="1075"/>
      <c r="M2" s="1075"/>
      <c r="N2" s="1075"/>
      <c r="O2" s="1075"/>
      <c r="P2" s="1075"/>
      <c r="Q2" s="1075"/>
    </row>
    <row collapsed="false" customFormat="false" customHeight="true" hidden="false" ht="18.75" outlineLevel="0" r="3">
      <c r="A3" s="1076" t="s">
        <v>928</v>
      </c>
      <c r="B3" s="1076"/>
      <c r="C3" s="1076"/>
      <c r="D3" s="1076"/>
      <c r="E3" s="1076"/>
      <c r="F3" s="1076"/>
      <c r="G3" s="1077"/>
      <c r="H3" s="1077"/>
      <c r="I3" s="1077"/>
      <c r="J3" s="1077"/>
      <c r="K3" s="1077"/>
      <c r="L3" s="1077"/>
      <c r="M3" s="1077"/>
      <c r="N3" s="1077"/>
      <c r="O3" s="1077"/>
      <c r="P3" s="1077"/>
      <c r="Q3" s="1077"/>
    </row>
    <row collapsed="false" customFormat="false" customHeight="true" hidden="false" ht="15.75" outlineLevel="0" r="4">
      <c r="A4" s="1076" t="s">
        <v>929</v>
      </c>
      <c r="B4" s="1076"/>
      <c r="C4" s="1076"/>
      <c r="D4" s="1076"/>
      <c r="E4" s="1076"/>
      <c r="F4" s="1076"/>
    </row>
    <row collapsed="false" customFormat="false" customHeight="false" hidden="false" ht="40.25" outlineLevel="0" r="6">
      <c r="A6" s="1078" t="s">
        <v>844</v>
      </c>
      <c r="B6" s="1079" t="s">
        <v>930</v>
      </c>
      <c r="C6" s="1080" t="s">
        <v>931</v>
      </c>
      <c r="D6" s="1081" t="s">
        <v>932</v>
      </c>
      <c r="E6" s="1079" t="n">
        <v>2011</v>
      </c>
      <c r="F6" s="1082" t="s">
        <v>933</v>
      </c>
    </row>
    <row collapsed="false" customFormat="false" customHeight="false" hidden="false" ht="59.7" outlineLevel="0" r="7">
      <c r="A7" s="1083" t="n">
        <v>1</v>
      </c>
      <c r="B7" s="1084" t="s">
        <v>934</v>
      </c>
      <c r="C7" s="1085" t="s">
        <v>935</v>
      </c>
      <c r="D7" s="1085" t="s">
        <v>936</v>
      </c>
      <c r="E7" s="1086" t="n">
        <v>0.85</v>
      </c>
      <c r="F7" s="1087" t="s">
        <v>937</v>
      </c>
    </row>
    <row collapsed="false" customFormat="false" customHeight="false" hidden="false" ht="40.25" outlineLevel="0" r="8">
      <c r="A8" s="1083" t="n">
        <f aca="false">A7+1</f>
        <v>2</v>
      </c>
      <c r="B8" s="1084" t="s">
        <v>938</v>
      </c>
      <c r="C8" s="1085" t="s">
        <v>939</v>
      </c>
      <c r="D8" s="1085" t="s">
        <v>940</v>
      </c>
      <c r="E8" s="1088" t="n">
        <v>6.13</v>
      </c>
      <c r="F8" s="1087" t="s">
        <v>941</v>
      </c>
    </row>
    <row collapsed="false" customFormat="false" customHeight="false" hidden="false" ht="40.25" outlineLevel="0" r="9">
      <c r="A9" s="1083" t="n">
        <f aca="false">A8+1</f>
        <v>3</v>
      </c>
      <c r="B9" s="1084" t="s">
        <v>942</v>
      </c>
      <c r="C9" s="1085" t="s">
        <v>943</v>
      </c>
      <c r="D9" s="1085" t="s">
        <v>944</v>
      </c>
      <c r="E9" s="1088" t="n">
        <v>1.28</v>
      </c>
      <c r="F9" s="1087" t="s">
        <v>945</v>
      </c>
    </row>
    <row collapsed="false" customFormat="false" customHeight="false" hidden="false" ht="49.95" outlineLevel="0" r="10">
      <c r="A10" s="1083" t="n">
        <f aca="false">A9+1</f>
        <v>4</v>
      </c>
      <c r="B10" s="1084" t="s">
        <v>946</v>
      </c>
      <c r="C10" s="1089" t="s">
        <v>947</v>
      </c>
      <c r="D10" s="1085" t="s">
        <v>948</v>
      </c>
      <c r="E10" s="1088" t="n">
        <v>4.1</v>
      </c>
      <c r="F10" s="1087" t="s">
        <v>949</v>
      </c>
    </row>
    <row collapsed="false" customFormat="false" customHeight="false" hidden="false" ht="30.55" outlineLevel="0" r="11">
      <c r="A11" s="1083" t="n">
        <f aca="false">A10+1</f>
        <v>5</v>
      </c>
      <c r="B11" s="1084" t="s">
        <v>950</v>
      </c>
      <c r="C11" s="1085" t="s">
        <v>951</v>
      </c>
      <c r="D11" s="1090"/>
      <c r="E11" s="1088" t="n">
        <f aca="false">((11*242/(13*241))*100)</f>
        <v>84.9664857963613</v>
      </c>
      <c r="F11" s="1087" t="s">
        <v>952</v>
      </c>
    </row>
    <row collapsed="false" customFormat="false" customHeight="false" hidden="false" ht="28.35" outlineLevel="0" r="12">
      <c r="A12" s="1091" t="n">
        <f aca="false">A11+1</f>
        <v>6</v>
      </c>
      <c r="B12" s="1084" t="s">
        <v>953</v>
      </c>
      <c r="C12" s="1085" t="s">
        <v>954</v>
      </c>
      <c r="D12" s="1090"/>
      <c r="E12" s="1088" t="n">
        <f aca="false">6627/6/241</f>
        <v>4.58298755186722</v>
      </c>
      <c r="F12" s="1087" t="s">
        <v>955</v>
      </c>
    </row>
    <row collapsed="false" customFormat="false" customHeight="false" hidden="false" ht="41.75" outlineLevel="0" r="13">
      <c r="A13" s="1083" t="n">
        <f aca="false">A12+1</f>
        <v>7</v>
      </c>
      <c r="B13" s="1084" t="s">
        <v>956</v>
      </c>
      <c r="C13" s="1085" t="s">
        <v>957</v>
      </c>
      <c r="D13" s="1090"/>
      <c r="E13" s="1088" t="n">
        <f aca="false">225329/30/241</f>
        <v>31.165836791148</v>
      </c>
      <c r="F13" s="1087" t="s">
        <v>958</v>
      </c>
    </row>
    <row collapsed="false" customFormat="false" customHeight="false" hidden="false" ht="40.25" outlineLevel="0" r="14">
      <c r="A14" s="1083" t="n">
        <f aca="false">A13+1</f>
        <v>8</v>
      </c>
      <c r="B14" s="1084" t="s">
        <v>959</v>
      </c>
      <c r="C14" s="1085" t="s">
        <v>960</v>
      </c>
      <c r="D14" s="1090"/>
      <c r="E14" s="1088" t="n">
        <f aca="false">23268/3/365</f>
        <v>21.2493150684931</v>
      </c>
      <c r="F14" s="1087" t="s">
        <v>961</v>
      </c>
    </row>
    <row collapsed="false" customFormat="false" customHeight="false" hidden="false" ht="40.25" outlineLevel="0" r="15">
      <c r="A15" s="1083" t="n">
        <f aca="false">A14+1</f>
        <v>9</v>
      </c>
      <c r="B15" s="1084" t="s">
        <v>962</v>
      </c>
      <c r="C15" s="1089" t="s">
        <v>963</v>
      </c>
      <c r="D15" s="1090"/>
      <c r="E15" s="1088" t="n">
        <v>60</v>
      </c>
      <c r="F15" s="1087" t="s">
        <v>964</v>
      </c>
    </row>
    <row collapsed="false" customFormat="false" customHeight="false" hidden="false" ht="40.25" outlineLevel="0" r="16">
      <c r="A16" s="1083" t="n">
        <f aca="false">A15+1</f>
        <v>10</v>
      </c>
      <c r="B16" s="1084" t="s">
        <v>965</v>
      </c>
      <c r="C16" s="1089" t="s">
        <v>966</v>
      </c>
      <c r="D16" s="1090"/>
      <c r="E16" s="1088" t="n">
        <v>48</v>
      </c>
      <c r="F16" s="1087" t="s">
        <v>967</v>
      </c>
    </row>
    <row collapsed="false" customFormat="false" customHeight="false" hidden="false" ht="30.55" outlineLevel="0" r="17">
      <c r="A17" s="1083" t="n">
        <f aca="false">A16+1</f>
        <v>11</v>
      </c>
      <c r="B17" s="1084" t="s">
        <v>968</v>
      </c>
      <c r="C17" s="1085" t="s">
        <v>969</v>
      </c>
      <c r="D17" s="1090"/>
      <c r="E17" s="1092" t="n">
        <v>0.13</v>
      </c>
      <c r="F17" s="1087" t="s">
        <v>970</v>
      </c>
    </row>
    <row collapsed="false" customFormat="false" customHeight="false" hidden="false" ht="24.8" outlineLevel="0" r="18">
      <c r="A18" s="1083" t="n">
        <f aca="false">A17+1</f>
        <v>12</v>
      </c>
      <c r="B18" s="1084" t="s">
        <v>971</v>
      </c>
      <c r="C18" s="1085" t="s">
        <v>972</v>
      </c>
      <c r="D18" s="1090"/>
      <c r="E18" s="1092" t="n">
        <v>0.03</v>
      </c>
      <c r="F18" s="1087"/>
    </row>
    <row collapsed="false" customFormat="false" customHeight="false" hidden="false" ht="30.55" outlineLevel="0" r="19">
      <c r="A19" s="1083" t="n">
        <f aca="false">A18+1</f>
        <v>13</v>
      </c>
      <c r="B19" s="1084" t="s">
        <v>973</v>
      </c>
      <c r="C19" s="1085" t="s">
        <v>974</v>
      </c>
      <c r="D19" s="1090"/>
      <c r="E19" s="1092" t="n">
        <f aca="false">522/14427</f>
        <v>0.0361821584529008</v>
      </c>
      <c r="F19" s="1087"/>
    </row>
    <row collapsed="false" customFormat="false" customHeight="false" hidden="false" ht="41.75" outlineLevel="0" r="20">
      <c r="A20" s="1083" t="n">
        <f aca="false">A19+1</f>
        <v>14</v>
      </c>
      <c r="B20" s="1093" t="s">
        <v>975</v>
      </c>
      <c r="C20" s="1094" t="s">
        <v>976</v>
      </c>
      <c r="D20" s="1090"/>
      <c r="E20" s="1095" t="s">
        <v>597</v>
      </c>
      <c r="F20" s="1096"/>
    </row>
    <row collapsed="false" customFormat="false" customHeight="false" hidden="false" ht="41.75" outlineLevel="0" r="21">
      <c r="A21" s="1083" t="n">
        <f aca="false">A20+1</f>
        <v>15</v>
      </c>
      <c r="B21" s="1093" t="s">
        <v>977</v>
      </c>
      <c r="C21" s="1094" t="s">
        <v>978</v>
      </c>
      <c r="D21" s="1090"/>
      <c r="E21" s="1095" t="s">
        <v>597</v>
      </c>
      <c r="F21" s="1096"/>
    </row>
    <row collapsed="false" customFormat="false" customHeight="false" hidden="false" ht="40.25" outlineLevel="0" r="22">
      <c r="A22" s="1083" t="n">
        <f aca="false">A21+1</f>
        <v>16</v>
      </c>
      <c r="B22" s="1093" t="s">
        <v>979</v>
      </c>
      <c r="C22" s="1094" t="s">
        <v>980</v>
      </c>
      <c r="D22" s="1090"/>
      <c r="E22" s="1095" t="s">
        <v>597</v>
      </c>
      <c r="F22" s="1096"/>
    </row>
    <row collapsed="false" customFormat="false" customHeight="false" hidden="false" ht="40.25" outlineLevel="0" r="23">
      <c r="A23" s="1083" t="n">
        <f aca="false">A22+1</f>
        <v>17</v>
      </c>
      <c r="B23" s="1093" t="s">
        <v>981</v>
      </c>
      <c r="C23" s="1094" t="s">
        <v>982</v>
      </c>
      <c r="D23" s="1090"/>
      <c r="E23" s="1095" t="s">
        <v>597</v>
      </c>
      <c r="F23" s="1096"/>
    </row>
    <row collapsed="false" customFormat="false" customHeight="false" hidden="false" ht="40.25" outlineLevel="0" r="24">
      <c r="A24" s="1083" t="n">
        <f aca="false">A23+1</f>
        <v>18</v>
      </c>
      <c r="B24" s="1093" t="s">
        <v>983</v>
      </c>
      <c r="C24" s="1094" t="s">
        <v>984</v>
      </c>
      <c r="D24" s="1090"/>
      <c r="E24" s="1095" t="s">
        <v>597</v>
      </c>
      <c r="F24" s="1096"/>
    </row>
    <row collapsed="false" customFormat="false" customHeight="false" hidden="false" ht="49.95" outlineLevel="0" r="25">
      <c r="A25" s="1083" t="n">
        <f aca="false">A24+1</f>
        <v>19</v>
      </c>
      <c r="B25" s="1093" t="s">
        <v>985</v>
      </c>
      <c r="C25" s="1094" t="s">
        <v>986</v>
      </c>
      <c r="D25" s="1090"/>
      <c r="E25" s="1095" t="s">
        <v>597</v>
      </c>
      <c r="F25" s="1096"/>
    </row>
    <row collapsed="false" customFormat="false" customHeight="false" hidden="false" ht="40.25" outlineLevel="0" r="26">
      <c r="A26" s="1083" t="n">
        <f aca="false">A25+1</f>
        <v>20</v>
      </c>
      <c r="B26" s="1093" t="s">
        <v>987</v>
      </c>
      <c r="C26" s="1094" t="s">
        <v>988</v>
      </c>
      <c r="D26" s="1090"/>
      <c r="E26" s="1095" t="s">
        <v>597</v>
      </c>
      <c r="F26" s="1096"/>
    </row>
    <row collapsed="false" customFormat="false" customHeight="false" hidden="false" ht="59.7" outlineLevel="0" r="27">
      <c r="A27" s="1083" t="n">
        <f aca="false">A26+1</f>
        <v>21</v>
      </c>
      <c r="B27" s="1093" t="s">
        <v>989</v>
      </c>
      <c r="C27" s="1094" t="s">
        <v>990</v>
      </c>
      <c r="D27" s="1090"/>
      <c r="E27" s="1095" t="s">
        <v>597</v>
      </c>
      <c r="F27" s="1096"/>
    </row>
    <row collapsed="false" customFormat="false" customHeight="false" hidden="false" ht="49.95" outlineLevel="0" r="28">
      <c r="A28" s="1083" t="n">
        <f aca="false">A27+1</f>
        <v>22</v>
      </c>
      <c r="B28" s="1093" t="s">
        <v>991</v>
      </c>
      <c r="C28" s="1094" t="s">
        <v>992</v>
      </c>
      <c r="D28" s="1090"/>
      <c r="E28" s="1095" t="s">
        <v>597</v>
      </c>
      <c r="F28" s="1096"/>
    </row>
    <row collapsed="false" customFormat="false" customHeight="false" hidden="false" ht="49.95" outlineLevel="0" r="29">
      <c r="A29" s="1083" t="n">
        <f aca="false">A28+1</f>
        <v>23</v>
      </c>
      <c r="B29" s="1093" t="s">
        <v>993</v>
      </c>
      <c r="C29" s="1094" t="s">
        <v>994</v>
      </c>
      <c r="D29" s="1090"/>
      <c r="E29" s="1095" t="s">
        <v>597</v>
      </c>
      <c r="F29" s="1096"/>
    </row>
    <row collapsed="false" customFormat="false" customHeight="false" hidden="false" ht="59.7" outlineLevel="0" r="30">
      <c r="A30" s="1083" t="n">
        <f aca="false">A29+1</f>
        <v>24</v>
      </c>
      <c r="B30" s="1093" t="s">
        <v>995</v>
      </c>
      <c r="C30" s="1094" t="s">
        <v>996</v>
      </c>
      <c r="D30" s="1090"/>
      <c r="E30" s="1095" t="s">
        <v>350</v>
      </c>
      <c r="F30" s="1096"/>
    </row>
    <row collapsed="false" customFormat="false" customHeight="false" hidden="false" ht="40.25" outlineLevel="0" r="31">
      <c r="A31" s="1097" t="n">
        <f aca="false">A30+1</f>
        <v>25</v>
      </c>
      <c r="B31" s="1098" t="s">
        <v>997</v>
      </c>
      <c r="C31" s="1099" t="s">
        <v>998</v>
      </c>
      <c r="D31" s="1100"/>
      <c r="E31" s="1101" t="s">
        <v>597</v>
      </c>
      <c r="F31" s="1102"/>
    </row>
    <row collapsed="false" customFormat="false" customHeight="false" hidden="false" ht="14" outlineLevel="0" r="32">
      <c r="B32" s="1103"/>
      <c r="D32" s="1104"/>
      <c r="E32" s="311" t="s">
        <v>999</v>
      </c>
    </row>
    <row collapsed="false" customFormat="false" customHeight="true" hidden="false" ht="15" outlineLevel="0" r="39"/>
  </sheetData>
  <mergeCells count="4">
    <mergeCell ref="A1:F1"/>
    <mergeCell ref="A2:F2"/>
    <mergeCell ref="A3:F3"/>
    <mergeCell ref="A4:F4"/>
  </mergeCells>
  <printOptions headings="false" gridLines="false" gridLinesSet="true" horizontalCentered="false" verticalCentered="false"/>
  <pageMargins left="0.984027777777778" right="0.354166666666667" top="0.747916666666667" bottom="0.609722222222222" header="0.511805555555555" footer="0.511805555555555"/>
  <pageSetup blackAndWhite="false" cellComments="none" copies="1" draft="false" firstPageNumber="0" fitToHeight="1" fitToWidth="1" horizontalDpi="300" orientation="landscape" pageOrder="downThenOver" paperSize="77" scale="65" useFirstPageNumber="false" usePrinterDefaults="false" verticalDpi="300"/>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C26"/>
  <sheetViews>
    <sheetView colorId="64" defaultGridColor="true" rightToLeft="false" showFormulas="false" showGridLines="false" showOutlineSymbols="true" showRowColHeaders="true" showZeros="true" tabSelected="false" topLeftCell="A1" view="normal" windowProtection="false" workbookViewId="0" zoomScale="100" zoomScaleNormal="100" zoomScalePageLayoutView="100">
      <selection activeCell="D8" activeCellId="0" pane="topLeft" sqref="D8"/>
    </sheetView>
  </sheetViews>
  <cols>
    <col collapsed="false" hidden="false" max="1" min="1" style="37" width="23.3764705882353"/>
    <col collapsed="false" hidden="false" max="2" min="2" style="37" width="7.6"/>
    <col collapsed="false" hidden="false" max="3" min="3" style="37" width="94.8117647058823"/>
    <col collapsed="false" hidden="false" max="257" min="4" style="37" width="11.4745098039216"/>
  </cols>
  <sheetData>
    <row collapsed="false" customFormat="false" customHeight="false" hidden="false" ht="20" outlineLevel="0" r="1">
      <c r="A1" s="38" t="s">
        <v>6</v>
      </c>
      <c r="B1" s="38"/>
      <c r="C1" s="38"/>
    </row>
    <row collapsed="false" customFormat="false" customHeight="false" hidden="false" ht="20" outlineLevel="0" r="2">
      <c r="A2" s="38" t="s">
        <v>7</v>
      </c>
      <c r="B2" s="38"/>
      <c r="C2" s="38"/>
    </row>
    <row collapsed="false" customFormat="false" customHeight="false" hidden="false" ht="15.2" outlineLevel="0" r="3">
      <c r="A3" s="39" t="s">
        <v>9</v>
      </c>
      <c r="B3" s="39"/>
      <c r="C3" s="39"/>
    </row>
    <row collapsed="false" customFormat="false" customHeight="false" hidden="false" ht="12.8" outlineLevel="0" r="4">
      <c r="A4" s="40"/>
      <c r="B4" s="41"/>
      <c r="C4" s="42"/>
    </row>
    <row collapsed="false" customFormat="false" customHeight="true" hidden="false" ht="12.75" outlineLevel="0" r="5">
      <c r="A5" s="43" t="s">
        <v>104</v>
      </c>
      <c r="B5" s="43"/>
      <c r="C5" s="43"/>
    </row>
    <row collapsed="false" customFormat="false" customHeight="false" hidden="false" ht="12.8" outlineLevel="0" r="6">
      <c r="A6" s="44"/>
      <c r="B6" s="45"/>
      <c r="C6" s="45"/>
    </row>
    <row collapsed="false" customFormat="false" customHeight="true" hidden="false" ht="15.75" outlineLevel="0" r="7">
      <c r="A7" s="46" t="s">
        <v>105</v>
      </c>
      <c r="B7" s="46"/>
      <c r="C7" s="47" t="str">
        <f aca="false">+'A-Informacion_General'!C7:H7</f>
        <v>Hospital Nacional de Niños Benjamin Bloom</v>
      </c>
    </row>
    <row collapsed="false" customFormat="false" customHeight="true" hidden="false" ht="89.25" outlineLevel="0" r="8">
      <c r="A8" s="48" t="s">
        <v>106</v>
      </c>
      <c r="B8" s="48"/>
      <c r="C8" s="49" t="s">
        <v>107</v>
      </c>
    </row>
    <row collapsed="false" customFormat="false" customHeight="true" hidden="false" ht="127.5" outlineLevel="0" r="9">
      <c r="A9" s="48" t="s">
        <v>108</v>
      </c>
      <c r="B9" s="48"/>
      <c r="C9" s="50" t="s">
        <v>109</v>
      </c>
    </row>
    <row collapsed="false" customFormat="false" customHeight="false" hidden="false" ht="12.8" outlineLevel="0" r="10">
      <c r="A10" s="51" t="s">
        <v>110</v>
      </c>
      <c r="B10" s="52" t="n">
        <v>1</v>
      </c>
      <c r="C10" s="53" t="s">
        <v>111</v>
      </c>
    </row>
    <row collapsed="false" customFormat="false" customHeight="true" hidden="false" ht="23.85" outlineLevel="0" r="11">
      <c r="A11" s="54" t="s">
        <v>112</v>
      </c>
      <c r="B11" s="52" t="n">
        <v>1</v>
      </c>
      <c r="C11" s="55" t="s">
        <v>113</v>
      </c>
    </row>
    <row collapsed="false" customFormat="false" customHeight="false" hidden="false" ht="23.85" outlineLevel="0" r="12">
      <c r="A12" s="54"/>
      <c r="B12" s="52" t="n">
        <v>2</v>
      </c>
      <c r="C12" s="55" t="s">
        <v>114</v>
      </c>
    </row>
    <row collapsed="false" customFormat="false" customHeight="false" hidden="false" ht="23.85" outlineLevel="0" r="13">
      <c r="A13" s="54"/>
      <c r="B13" s="52" t="n">
        <v>3</v>
      </c>
      <c r="C13" s="55" t="s">
        <v>115</v>
      </c>
    </row>
    <row collapsed="false" customFormat="false" customHeight="false" hidden="false" ht="23.85" outlineLevel="0" r="14">
      <c r="A14" s="54"/>
      <c r="B14" s="52" t="n">
        <v>4</v>
      </c>
      <c r="C14" s="53" t="s">
        <v>116</v>
      </c>
    </row>
    <row collapsed="false" customFormat="false" customHeight="false" hidden="false" ht="23.85" outlineLevel="0" r="15">
      <c r="A15" s="54"/>
      <c r="B15" s="52" t="n">
        <v>5</v>
      </c>
      <c r="C15" s="53" t="s">
        <v>117</v>
      </c>
    </row>
    <row collapsed="false" customFormat="false" customHeight="false" hidden="false" ht="12.8" outlineLevel="0" r="16">
      <c r="A16" s="54"/>
      <c r="B16" s="56" t="n">
        <v>7</v>
      </c>
      <c r="C16" s="53" t="s">
        <v>118</v>
      </c>
    </row>
    <row collapsed="false" customFormat="false" customHeight="true" hidden="false" ht="12.8" outlineLevel="0" r="17">
      <c r="A17" s="54" t="s">
        <v>119</v>
      </c>
      <c r="B17" s="57" t="n">
        <v>1</v>
      </c>
      <c r="C17" s="58" t="s">
        <v>120</v>
      </c>
    </row>
    <row collapsed="false" customFormat="false" customHeight="false" hidden="false" ht="23.85" outlineLevel="0" r="18">
      <c r="A18" s="54"/>
      <c r="B18" s="57" t="n">
        <v>2</v>
      </c>
      <c r="C18" s="55" t="s">
        <v>121</v>
      </c>
    </row>
    <row collapsed="false" customFormat="false" customHeight="false" hidden="false" ht="12.8" outlineLevel="0" r="19">
      <c r="A19" s="54"/>
      <c r="B19" s="57" t="n">
        <v>3</v>
      </c>
      <c r="C19" s="53" t="s">
        <v>122</v>
      </c>
    </row>
    <row collapsed="false" customFormat="false" customHeight="false" hidden="false" ht="12.8" outlineLevel="0" r="20">
      <c r="A20" s="54"/>
      <c r="B20" s="57" t="n">
        <v>4</v>
      </c>
      <c r="C20" s="53" t="s">
        <v>123</v>
      </c>
    </row>
    <row collapsed="false" customFormat="false" customHeight="false" hidden="false" ht="12.8" outlineLevel="0" r="21">
      <c r="A21" s="54"/>
      <c r="B21" s="57" t="n">
        <v>5</v>
      </c>
      <c r="C21" s="55" t="s">
        <v>124</v>
      </c>
    </row>
    <row collapsed="false" customFormat="false" customHeight="false" hidden="false" ht="12.8" outlineLevel="0" r="22">
      <c r="A22" s="54"/>
      <c r="B22" s="59" t="n">
        <v>7</v>
      </c>
      <c r="C22" s="53" t="s">
        <v>125</v>
      </c>
    </row>
    <row collapsed="false" customFormat="false" customHeight="false" hidden="false" ht="12.8" outlineLevel="0" r="23">
      <c r="A23" s="54"/>
      <c r="B23" s="57" t="n">
        <v>9</v>
      </c>
      <c r="C23" s="55" t="s">
        <v>126</v>
      </c>
    </row>
    <row collapsed="false" customFormat="false" customHeight="false" hidden="false" ht="12.8" outlineLevel="0" r="24">
      <c r="A24" s="54"/>
      <c r="B24" s="56" t="n">
        <v>10</v>
      </c>
      <c r="C24" s="53" t="s">
        <v>127</v>
      </c>
    </row>
    <row collapsed="false" customFormat="false" customHeight="false" hidden="false" ht="12.8" outlineLevel="0" r="26">
      <c r="A26" s="60" t="s">
        <v>128</v>
      </c>
      <c r="B26" s="60"/>
      <c r="C26" s="60"/>
    </row>
  </sheetData>
  <mergeCells count="10">
    <mergeCell ref="A1:C1"/>
    <mergeCell ref="A2:C2"/>
    <mergeCell ref="A3:C3"/>
    <mergeCell ref="A5:C5"/>
    <mergeCell ref="A7:B7"/>
    <mergeCell ref="A8:B8"/>
    <mergeCell ref="A9:B9"/>
    <mergeCell ref="A11:A16"/>
    <mergeCell ref="A17:A24"/>
    <mergeCell ref="A26:C26"/>
  </mergeCells>
  <printOptions headings="false" gridLines="false" gridLinesSet="true" horizontalCentered="true" verticalCentered="false"/>
  <pageMargins left="0.275694444444444" right="0.236111111111111" top="0.433333333333333" bottom="0.39375" header="0.511805555555555" footer="0.511805555555555"/>
  <pageSetup blackAndWhite="false" cellComments="none" copies="1" draft="false" firstPageNumber="0" fitToHeight="1" fitToWidth="1" horizontalDpi="300" orientation="landscape" pageOrder="downThenOver" paperSize="77" scale="100" useFirstPageNumber="false" usePrinterDefaults="false" verticalDpi="300"/>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21"/>
  <sheetViews>
    <sheetView colorId="64" defaultGridColor="true" rightToLeft="false" showFormulas="false" showGridLines="false" showOutlineSymbols="true" showRowColHeaders="true" showZeros="true" tabSelected="false" topLeftCell="A15" view="normal" windowProtection="false" workbookViewId="0" zoomScale="100" zoomScaleNormal="100" zoomScalePageLayoutView="100">
      <selection activeCell="A21" activeCellId="0" pane="topLeft" sqref="A21"/>
    </sheetView>
  </sheetViews>
  <cols>
    <col collapsed="false" hidden="false" max="1" min="1" style="61" width="132.117647058824"/>
    <col collapsed="false" hidden="false" max="257" min="2" style="61" width="11.4745098039216"/>
  </cols>
  <sheetData>
    <row collapsed="false" customFormat="false" customHeight="false" hidden="false" ht="20" outlineLevel="0" r="1">
      <c r="A1" s="62" t="s">
        <v>6</v>
      </c>
    </row>
    <row collapsed="false" customFormat="false" customHeight="false" hidden="false" ht="20" outlineLevel="0" r="2">
      <c r="A2" s="62" t="s">
        <v>7</v>
      </c>
    </row>
    <row collapsed="false" customFormat="false" customHeight="false" hidden="false" ht="15.2" outlineLevel="0" r="3">
      <c r="A3" s="63" t="s">
        <v>9</v>
      </c>
    </row>
    <row collapsed="false" customFormat="false" customHeight="false" hidden="false" ht="15.2" outlineLevel="0" r="4">
      <c r="A4" s="63"/>
    </row>
    <row collapsed="false" customFormat="false" customHeight="false" hidden="false" ht="15.2" outlineLevel="0" r="5">
      <c r="A5" s="64" t="s">
        <v>129</v>
      </c>
    </row>
    <row collapsed="false" customFormat="false" customHeight="false" hidden="false" ht="12.8" outlineLevel="0" r="6">
      <c r="A6" s="65"/>
    </row>
    <row collapsed="false" customFormat="false" customHeight="true" hidden="false" ht="22.5" outlineLevel="0" r="7">
      <c r="A7" s="65" t="s">
        <v>130</v>
      </c>
    </row>
    <row collapsed="false" customFormat="false" customHeight="true" hidden="false" ht="7.5" outlineLevel="0" r="8">
      <c r="A8" s="65"/>
    </row>
    <row collapsed="false" customFormat="false" customHeight="true" hidden="false" ht="46.5" outlineLevel="0" r="9">
      <c r="A9" s="66" t="s">
        <v>131</v>
      </c>
    </row>
    <row collapsed="false" customFormat="false" customHeight="true" hidden="false" ht="123" outlineLevel="0" r="10">
      <c r="A10" s="67" t="s">
        <v>132</v>
      </c>
    </row>
    <row collapsed="false" customFormat="false" customHeight="true" hidden="false" ht="69" outlineLevel="0" r="11">
      <c r="A11" s="68" t="s">
        <v>133</v>
      </c>
    </row>
    <row collapsed="false" customFormat="false" customHeight="true" hidden="false" ht="115.5" outlineLevel="0" r="12">
      <c r="A12" s="69" t="s">
        <v>134</v>
      </c>
    </row>
    <row collapsed="false" customFormat="false" customHeight="true" hidden="false" ht="99" outlineLevel="0" r="13">
      <c r="A13" s="69" t="s">
        <v>135</v>
      </c>
    </row>
    <row collapsed="false" customFormat="false" customHeight="true" hidden="false" ht="105" outlineLevel="0" r="14">
      <c r="A14" s="70" t="s">
        <v>136</v>
      </c>
    </row>
    <row collapsed="false" customFormat="false" customHeight="true" hidden="false" ht="57" outlineLevel="0" r="15">
      <c r="A15" s="71" t="s">
        <v>137</v>
      </c>
    </row>
    <row collapsed="false" customFormat="false" customHeight="true" hidden="false" ht="51.75" outlineLevel="0" r="16">
      <c r="A16" s="71" t="s">
        <v>138</v>
      </c>
    </row>
    <row collapsed="false" customFormat="false" customHeight="true" hidden="false" ht="38.25" outlineLevel="0" r="17">
      <c r="A17" s="72" t="s">
        <v>139</v>
      </c>
    </row>
    <row collapsed="false" customFormat="false" customHeight="true" hidden="false" ht="46.5" outlineLevel="0" r="18">
      <c r="A18" s="71" t="s">
        <v>140</v>
      </c>
    </row>
    <row collapsed="false" customFormat="false" customHeight="true" hidden="false" ht="81" outlineLevel="0" r="19">
      <c r="A19" s="73" t="s">
        <v>141</v>
      </c>
    </row>
    <row collapsed="false" customFormat="false" customHeight="false" hidden="false" ht="12.8" outlineLevel="0" r="21">
      <c r="A21" s="74" t="s">
        <v>142</v>
      </c>
    </row>
  </sheetData>
  <printOptions headings="false" gridLines="false" gridLinesSet="true" horizontalCentered="false" verticalCentered="false"/>
  <pageMargins left="0.329861111111111" right="0.190277777777778" top="0.359722222222222" bottom="0.390277777777778" header="0.511805555555555" footer="0.511805555555555"/>
  <pageSetup blackAndWhite="false" cellComments="none" copies="1" draft="false" firstPageNumber="0" fitToHeight="1" fitToWidth="1" horizontalDpi="300" orientation="landscape" pageOrder="downThenOver" paperSize="77" scale="100" useFirstPageNumber="false" usePrinterDefaults="false" verticalDpi="300"/>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E26"/>
  <sheetViews>
    <sheetView colorId="64" defaultGridColor="true" rightToLeft="false" showFormulas="false" showGridLines="true" showOutlineSymbols="true" showRowColHeaders="true" showZeros="true" tabSelected="false" topLeftCell="A1" view="normal" windowProtection="false" workbookViewId="0" zoomScale="70" zoomScaleNormal="70" zoomScalePageLayoutView="100">
      <selection activeCell="B28" activeCellId="0" pane="topLeft" sqref="B28"/>
    </sheetView>
  </sheetViews>
  <cols>
    <col collapsed="false" hidden="false" max="1" min="1" style="0" width="78.321568627451"/>
    <col collapsed="false" hidden="false" max="2" min="2" style="0" width="20.5098039215686"/>
    <col collapsed="false" hidden="false" max="3" min="3" style="0" width="2.15294117647059"/>
    <col collapsed="false" hidden="false" max="4" min="4" style="0" width="18.7882352941176"/>
    <col collapsed="false" hidden="false" max="5" min="5" style="0" width="17.9254901960784"/>
    <col collapsed="false" hidden="false" max="257" min="6" style="0" width="10.5764705882353"/>
  </cols>
  <sheetData>
    <row collapsed="false" customFormat="false" customHeight="false" hidden="false" ht="20" outlineLevel="0" r="1">
      <c r="A1" s="75" t="s">
        <v>6</v>
      </c>
      <c r="B1" s="75"/>
      <c r="C1" s="76"/>
    </row>
    <row collapsed="false" customFormat="false" customHeight="false" hidden="false" ht="17.6" outlineLevel="0" r="3">
      <c r="A3" s="77" t="s">
        <v>143</v>
      </c>
      <c r="B3" s="77"/>
      <c r="C3" s="78"/>
    </row>
    <row collapsed="false" customFormat="false" customHeight="false" hidden="false" ht="17.6" outlineLevel="0" r="4">
      <c r="A4" s="77" t="s">
        <v>0</v>
      </c>
      <c r="B4" s="77"/>
      <c r="C4" s="78"/>
    </row>
    <row collapsed="false" customFormat="false" customHeight="true" hidden="false" ht="22.5" outlineLevel="0" r="6">
      <c r="A6" s="79" t="s">
        <v>144</v>
      </c>
      <c r="B6" s="79"/>
      <c r="C6" s="80"/>
    </row>
    <row collapsed="false" customFormat="false" customHeight="true" hidden="false" ht="15" outlineLevel="0" r="7">
      <c r="D7" s="81" t="s">
        <v>145</v>
      </c>
      <c r="E7" s="81"/>
    </row>
    <row collapsed="false" customFormat="false" customHeight="false" hidden="false" ht="15.2" outlineLevel="0" r="8">
      <c r="B8" s="82" t="s">
        <v>146</v>
      </c>
      <c r="C8" s="83"/>
      <c r="D8" s="84" t="s">
        <v>147</v>
      </c>
      <c r="E8" s="85" t="s">
        <v>148</v>
      </c>
    </row>
    <row collapsed="false" customFormat="false" customHeight="true" hidden="false" ht="19.5" outlineLevel="0" r="9">
      <c r="A9" s="86" t="s">
        <v>149</v>
      </c>
      <c r="B9" s="87" t="n">
        <v>123924</v>
      </c>
      <c r="C9" s="88"/>
      <c r="D9" s="89" t="n">
        <f aca="false">B9*0.473</f>
        <v>58616.052</v>
      </c>
      <c r="E9" s="90" t="n">
        <f aca="false">B9*0.527</f>
        <v>65307.948</v>
      </c>
    </row>
    <row collapsed="false" customFormat="false" customHeight="true" hidden="false" ht="19.5" outlineLevel="0" r="10">
      <c r="A10" s="91" t="s">
        <v>150</v>
      </c>
      <c r="B10" s="92" t="n">
        <v>122072</v>
      </c>
      <c r="C10" s="88"/>
      <c r="D10" s="93" t="n">
        <f aca="false">B10*0.473</f>
        <v>57740.056</v>
      </c>
      <c r="E10" s="94" t="n">
        <f aca="false">B10*0.527</f>
        <v>64331.944</v>
      </c>
    </row>
    <row collapsed="false" customFormat="false" customHeight="true" hidden="false" ht="19.5" outlineLevel="0" r="11">
      <c r="A11" s="91" t="s">
        <v>151</v>
      </c>
      <c r="B11" s="92" t="n">
        <v>120906</v>
      </c>
      <c r="C11" s="88"/>
      <c r="D11" s="93" t="n">
        <f aca="false">B11*0.473</f>
        <v>57188.538</v>
      </c>
      <c r="E11" s="94" t="n">
        <f aca="false">B11*0.527</f>
        <v>63717.462</v>
      </c>
    </row>
    <row collapsed="false" customFormat="false" customHeight="true" hidden="false" ht="19.5" outlineLevel="0" r="12">
      <c r="A12" s="91" t="s">
        <v>152</v>
      </c>
      <c r="B12" s="92" t="n">
        <v>119970</v>
      </c>
      <c r="C12" s="88"/>
      <c r="D12" s="93" t="n">
        <f aca="false">B12*0.473</f>
        <v>56745.81</v>
      </c>
      <c r="E12" s="94" t="n">
        <f aca="false">B12*0.527</f>
        <v>63224.19</v>
      </c>
    </row>
    <row collapsed="false" customFormat="false" customHeight="true" hidden="false" ht="19.5" outlineLevel="0" r="13">
      <c r="A13" s="91" t="s">
        <v>153</v>
      </c>
      <c r="B13" s="92" t="n">
        <v>119345</v>
      </c>
      <c r="C13" s="88"/>
      <c r="D13" s="93" t="n">
        <f aca="false">B13*0.473</f>
        <v>56450.185</v>
      </c>
      <c r="E13" s="94" t="n">
        <f aca="false">B13*0.527</f>
        <v>62894.815</v>
      </c>
    </row>
    <row collapsed="false" customFormat="false" customHeight="true" hidden="false" ht="19.5" outlineLevel="0" r="14">
      <c r="A14" s="91" t="s">
        <v>154</v>
      </c>
      <c r="B14" s="92" t="n">
        <v>113976</v>
      </c>
      <c r="C14" s="88"/>
      <c r="D14" s="93" t="n">
        <f aca="false">B14*0.473</f>
        <v>53910.648</v>
      </c>
      <c r="E14" s="94" t="n">
        <f aca="false">B14*0.527</f>
        <v>60065.352</v>
      </c>
    </row>
    <row collapsed="false" customFormat="false" customHeight="true" hidden="false" ht="19.5" outlineLevel="0" r="15">
      <c r="A15" s="91" t="s">
        <v>155</v>
      </c>
      <c r="B15" s="92" t="n">
        <v>116168</v>
      </c>
      <c r="C15" s="88"/>
      <c r="D15" s="93" t="n">
        <f aca="false">B15*0.473</f>
        <v>54947.464</v>
      </c>
      <c r="E15" s="94" t="n">
        <f aca="false">B15*0.527</f>
        <v>61220.536</v>
      </c>
    </row>
    <row collapsed="false" customFormat="false" customHeight="true" hidden="false" ht="19.5" outlineLevel="0" r="16">
      <c r="A16" s="91" t="s">
        <v>156</v>
      </c>
      <c r="B16" s="92" t="n">
        <v>119615</v>
      </c>
      <c r="C16" s="88"/>
      <c r="D16" s="93" t="n">
        <f aca="false">B16*0.473</f>
        <v>56577.895</v>
      </c>
      <c r="E16" s="94" t="n">
        <f aca="false">B16*0.527</f>
        <v>63037.105</v>
      </c>
    </row>
    <row collapsed="false" customFormat="false" customHeight="true" hidden="false" ht="19.5" outlineLevel="0" r="17">
      <c r="A17" s="91" t="s">
        <v>157</v>
      </c>
      <c r="B17" s="92" t="n">
        <v>123954</v>
      </c>
      <c r="C17" s="88"/>
      <c r="D17" s="93" t="n">
        <f aca="false">B17*0.473</f>
        <v>58630.242</v>
      </c>
      <c r="E17" s="94" t="n">
        <f aca="false">B17*0.527</f>
        <v>65323.758</v>
      </c>
    </row>
    <row collapsed="false" customFormat="false" customHeight="true" hidden="false" ht="19.5" outlineLevel="0" r="18">
      <c r="A18" s="91" t="s">
        <v>158</v>
      </c>
      <c r="B18" s="92" t="n">
        <v>128882</v>
      </c>
      <c r="C18" s="88"/>
      <c r="D18" s="93" t="n">
        <f aca="false">B18*0.473</f>
        <v>60961.186</v>
      </c>
      <c r="E18" s="94" t="n">
        <f aca="false">B18*0.527</f>
        <v>67920.814</v>
      </c>
    </row>
    <row collapsed="false" customFormat="false" customHeight="true" hidden="false" ht="19.5" outlineLevel="0" r="19">
      <c r="A19" s="91" t="s">
        <v>159</v>
      </c>
      <c r="B19" s="92" t="n">
        <v>134220</v>
      </c>
      <c r="C19" s="88"/>
      <c r="D19" s="93" t="n">
        <f aca="false">B19*0.473</f>
        <v>63486.06</v>
      </c>
      <c r="E19" s="94" t="n">
        <f aca="false">B19*0.527</f>
        <v>70733.94</v>
      </c>
    </row>
    <row collapsed="false" customFormat="false" customHeight="true" hidden="false" ht="19.5" outlineLevel="0" r="20">
      <c r="A20" s="91" t="s">
        <v>160</v>
      </c>
      <c r="B20" s="92" t="n">
        <v>140149</v>
      </c>
      <c r="C20" s="88"/>
      <c r="D20" s="93" t="n">
        <f aca="false">B20*0.473</f>
        <v>66290.477</v>
      </c>
      <c r="E20" s="94" t="n">
        <f aca="false">B20*0.527</f>
        <v>73858.523</v>
      </c>
    </row>
    <row collapsed="false" customFormat="false" customHeight="true" hidden="false" ht="19.5" outlineLevel="0" r="21">
      <c r="A21" s="91" t="s">
        <v>161</v>
      </c>
      <c r="B21" s="92" t="n">
        <v>144435</v>
      </c>
      <c r="C21" s="88"/>
      <c r="D21" s="93" t="n">
        <f aca="false">B21*0.473</f>
        <v>68317.755</v>
      </c>
      <c r="E21" s="94" t="n">
        <f aca="false">B21*0.527</f>
        <v>76117.245</v>
      </c>
    </row>
    <row collapsed="false" customFormat="false" customHeight="true" hidden="false" ht="19.5" outlineLevel="0" r="22">
      <c r="A22" s="91" t="s">
        <v>162</v>
      </c>
      <c r="B22" s="92" t="n">
        <v>145993</v>
      </c>
      <c r="C22" s="88"/>
      <c r="D22" s="93" t="n">
        <f aca="false">B22*0.473</f>
        <v>69054.689</v>
      </c>
      <c r="E22" s="94" t="n">
        <f aca="false">B22*0.527</f>
        <v>76938.311</v>
      </c>
    </row>
    <row collapsed="false" customFormat="false" customHeight="true" hidden="false" ht="19.5" outlineLevel="0" r="23">
      <c r="A23" s="91" t="s">
        <v>163</v>
      </c>
      <c r="B23" s="92" t="n">
        <v>145547</v>
      </c>
      <c r="C23" s="88"/>
      <c r="D23" s="93" t="n">
        <f aca="false">B23*0.473</f>
        <v>68843.731</v>
      </c>
      <c r="E23" s="94" t="n">
        <f aca="false">B23*0.527</f>
        <v>76703.269</v>
      </c>
    </row>
    <row collapsed="false" customFormat="false" customHeight="true" hidden="false" ht="19.5" outlineLevel="0" r="24">
      <c r="A24" s="91" t="s">
        <v>164</v>
      </c>
      <c r="B24" s="92" t="n">
        <v>145108</v>
      </c>
      <c r="C24" s="88"/>
      <c r="D24" s="93" t="n">
        <f aca="false">B24*0.473</f>
        <v>68636.084</v>
      </c>
      <c r="E24" s="94" t="n">
        <f aca="false">B24*0.527</f>
        <v>76471.916</v>
      </c>
    </row>
    <row collapsed="false" customFormat="false" customHeight="true" hidden="false" ht="19.5" outlineLevel="0" r="25">
      <c r="A25" s="91" t="s">
        <v>165</v>
      </c>
      <c r="B25" s="92" t="n">
        <v>144515</v>
      </c>
      <c r="C25" s="88"/>
      <c r="D25" s="93" t="n">
        <f aca="false">B25*0.473</f>
        <v>68355.595</v>
      </c>
      <c r="E25" s="94" t="n">
        <f aca="false">B25*0.527</f>
        <v>76159.405</v>
      </c>
    </row>
    <row collapsed="false" customFormat="false" customHeight="true" hidden="false" ht="19.5" outlineLevel="0" r="26">
      <c r="A26" s="95" t="s">
        <v>166</v>
      </c>
      <c r="B26" s="96" t="n">
        <v>142401</v>
      </c>
      <c r="C26" s="88"/>
      <c r="D26" s="97" t="n">
        <f aca="false">B26*0.473</f>
        <v>67355.673</v>
      </c>
      <c r="E26" s="98" t="n">
        <f aca="false">B26*0.527</f>
        <v>75045.327</v>
      </c>
    </row>
  </sheetData>
  <mergeCells count="5">
    <mergeCell ref="A1:B1"/>
    <mergeCell ref="A3:B3"/>
    <mergeCell ref="A4:B4"/>
    <mergeCell ref="A6:B6"/>
    <mergeCell ref="D7:E7"/>
  </mergeCells>
  <printOptions headings="false" gridLines="false" gridLinesSet="true" horizontalCentered="true" verticalCentered="false"/>
  <pageMargins left="0.740277777777778" right="0.315277777777778" top="0.940277777777778" bottom="0.196527777777778" header="0.511805555555555" footer="0.511805555555555"/>
  <pageSetup blackAndWhite="false" cellComments="none" copies="1" draft="false" firstPageNumber="0" fitToHeight="1" fitToWidth="1" horizontalDpi="300" orientation="landscape" pageOrder="downThenOver" paperSize="77" scale="90" useFirstPageNumber="false" usePrinterDefaults="false" verticalDpi="300"/>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B1:Q27"/>
  <sheetViews>
    <sheetView colorId="64" defaultGridColor="true" rightToLeft="false" showFormulas="false" showGridLines="true" showOutlineSymbols="true" showRowColHeaders="true" showZeros="true" tabSelected="false" topLeftCell="F1" view="normal" windowProtection="false" workbookViewId="0" zoomScale="100" zoomScaleNormal="100" zoomScalePageLayoutView="100">
      <selection activeCell="O27" activeCellId="0" pane="topLeft" sqref="O27"/>
    </sheetView>
  </sheetViews>
  <cols>
    <col collapsed="false" hidden="false" max="1" min="1" style="99" width="1.29019607843137"/>
    <col collapsed="false" hidden="false" max="2" min="2" style="99" width="16.2078431372549"/>
    <col collapsed="false" hidden="false" max="3" min="3" style="99" width="40.8823529411765"/>
    <col collapsed="false" hidden="false" max="4" min="4" style="99" width="11.4745098039216"/>
    <col collapsed="false" hidden="false" max="5" min="5" style="99" width="10.6117647058824"/>
    <col collapsed="false" hidden="false" max="6" min="6" style="99" width="9.75294117647059"/>
    <col collapsed="false" hidden="false" max="7" min="7" style="99" width="9.89411764705882"/>
    <col collapsed="false" hidden="false" max="8" min="8" style="99" width="9.18039215686274"/>
    <col collapsed="false" hidden="false" max="9" min="9" style="99" width="8.74901960784314"/>
    <col collapsed="false" hidden="false" max="10" min="10" style="99" width="8.89019607843137"/>
    <col collapsed="false" hidden="false" max="11" min="11" style="99" width="11.1882352941176"/>
    <col collapsed="false" hidden="false" max="13" min="12" style="99" width="11.4745098039216"/>
    <col collapsed="false" hidden="false" max="14" min="14" style="99" width="7.74509803921569"/>
    <col collapsed="false" hidden="false" max="15" min="15" style="99" width="14.3411764705882"/>
    <col collapsed="false" hidden="false" max="16" min="16" style="99" width="8.74901960784314"/>
    <col collapsed="false" hidden="false" max="17" min="17" style="99" width="13.7686274509804"/>
    <col collapsed="false" hidden="false" max="257" min="18" style="99" width="11.4745098039216"/>
  </cols>
  <sheetData>
    <row collapsed="false" customFormat="false" customHeight="false" hidden="false" ht="14" outlineLevel="0" r="1">
      <c r="B1" s="100" t="s">
        <v>0</v>
      </c>
    </row>
    <row collapsed="false" customFormat="false" customHeight="false" hidden="false" ht="15.2" outlineLevel="0" r="2">
      <c r="B2" s="101" t="s">
        <v>167</v>
      </c>
    </row>
    <row collapsed="false" customFormat="false" customHeight="false" hidden="false" ht="32.8" outlineLevel="0" r="4">
      <c r="B4" s="102" t="s">
        <v>168</v>
      </c>
      <c r="C4" s="103" t="s">
        <v>169</v>
      </c>
      <c r="D4" s="103" t="s">
        <v>170</v>
      </c>
      <c r="E4" s="104" t="s">
        <v>171</v>
      </c>
      <c r="F4" s="104" t="s">
        <v>172</v>
      </c>
      <c r="G4" s="104" t="s">
        <v>173</v>
      </c>
      <c r="H4" s="104" t="s">
        <v>174</v>
      </c>
      <c r="I4" s="105" t="s">
        <v>175</v>
      </c>
      <c r="J4" s="105" t="s">
        <v>176</v>
      </c>
      <c r="K4" s="104" t="s">
        <v>177</v>
      </c>
      <c r="L4" s="104" t="s">
        <v>178</v>
      </c>
      <c r="M4" s="104" t="s">
        <v>179</v>
      </c>
      <c r="N4" s="104" t="s">
        <v>180</v>
      </c>
      <c r="O4" s="104" t="s">
        <v>181</v>
      </c>
      <c r="P4" s="104" t="s">
        <v>182</v>
      </c>
      <c r="Q4" s="106" t="s">
        <v>183</v>
      </c>
    </row>
    <row collapsed="false" customFormat="false" customHeight="false" hidden="false" ht="14" outlineLevel="0" r="5">
      <c r="B5" s="107" t="s">
        <v>184</v>
      </c>
      <c r="C5" s="108" t="s">
        <v>185</v>
      </c>
      <c r="D5" s="109" t="n">
        <v>11260</v>
      </c>
      <c r="E5" s="110" t="n">
        <f aca="false">IF(ISERROR(D5/$D$26),"",D5/$D$26)</f>
        <v>0.0487469100260186</v>
      </c>
      <c r="F5" s="109" t="n">
        <v>1047</v>
      </c>
      <c r="G5" s="109" t="n">
        <v>6499</v>
      </c>
      <c r="H5" s="111" t="n">
        <f aca="false">IF(ISERROR(G5/F5),"",ROUND(G5/F5,1))</f>
        <v>6.2</v>
      </c>
      <c r="I5" s="110" t="n">
        <f aca="false">IF(ISERROR(F5/$F$26),"",F5/$F$26)</f>
        <v>0.0723216135939767</v>
      </c>
      <c r="J5" s="110" t="n">
        <f aca="false">IF(ISERROR(G5/$G$26),"",G5/$G$26)</f>
        <v>0.0617722818390062</v>
      </c>
      <c r="K5" s="109" t="n">
        <v>52</v>
      </c>
      <c r="L5" s="110" t="n">
        <f aca="false">IF(ISERROR(K5/F5),"",K5/F5)</f>
        <v>0.049665711556829</v>
      </c>
      <c r="M5" s="110" t="n">
        <f aca="false">IF(ISERROR(K5/$K$26),"",K5/$K$26)</f>
        <v>0.0909090909090909</v>
      </c>
      <c r="N5" s="109" t="n">
        <v>155</v>
      </c>
      <c r="O5" s="110" t="n">
        <f aca="false">IF(ISERROR(N5/$F5),"",N5/$F5)</f>
        <v>0.148042024832856</v>
      </c>
      <c r="P5" s="109" t="n">
        <v>77</v>
      </c>
      <c r="Q5" s="112" t="n">
        <f aca="false">IF(ISERROR(P5/$F5),"",P5/$F5)</f>
        <v>0.0735434574976122</v>
      </c>
    </row>
    <row collapsed="false" customFormat="false" customHeight="false" hidden="false" ht="14" outlineLevel="0" r="6">
      <c r="B6" s="113" t="s">
        <v>186</v>
      </c>
      <c r="C6" s="114" t="s">
        <v>187</v>
      </c>
      <c r="D6" s="109" t="n">
        <v>15452</v>
      </c>
      <c r="E6" s="115" t="n">
        <f aca="false">IF(ISERROR(D6/$D$26),"",D6/$D$26)</f>
        <v>0.066894960366078</v>
      </c>
      <c r="F6" s="109" t="n">
        <v>511</v>
      </c>
      <c r="G6" s="109" t="n">
        <v>6716</v>
      </c>
      <c r="H6" s="116" t="n">
        <f aca="false">IF(ISERROR(G6/F6),"",ROUND(G6/F6,1))</f>
        <v>13.1</v>
      </c>
      <c r="I6" s="115" t="n">
        <f aca="false">IF(ISERROR(F6/$F$26),"",F6/$F$26)</f>
        <v>0.0352973682392761</v>
      </c>
      <c r="J6" s="115" t="n">
        <f aca="false">IF(ISERROR(G6/$G$26),"",G6/$G$26)</f>
        <v>0.0638348430267373</v>
      </c>
      <c r="K6" s="109" t="n">
        <v>56</v>
      </c>
      <c r="L6" s="115" t="n">
        <f aca="false">IF(ISERROR(K6/F6),"",K6/F6)</f>
        <v>0.10958904109589</v>
      </c>
      <c r="M6" s="115" t="n">
        <f aca="false">IF(ISERROR(K6/$K$26),"",K6/$K$26)</f>
        <v>0.0979020979020979</v>
      </c>
      <c r="N6" s="109" t="n">
        <v>2</v>
      </c>
      <c r="O6" s="117" t="n">
        <f aca="false">IF(ISERROR(N6/$F6),"",N6/$F6)</f>
        <v>0.00391389432485323</v>
      </c>
      <c r="P6" s="109" t="n">
        <v>23</v>
      </c>
      <c r="Q6" s="118" t="n">
        <f aca="false">IF(ISERROR(P6/$F6),"",P6/$F6)</f>
        <v>0.0450097847358121</v>
      </c>
    </row>
    <row collapsed="false" customFormat="false" customHeight="false" hidden="false" ht="35.05" outlineLevel="0" r="7">
      <c r="B7" s="113" t="s">
        <v>188</v>
      </c>
      <c r="C7" s="114" t="s">
        <v>189</v>
      </c>
      <c r="D7" s="119" t="n">
        <v>6657</v>
      </c>
      <c r="E7" s="115" t="n">
        <f aca="false">IF(ISERROR(D7/$D$26),"",D7/$D$26)</f>
        <v>0.0288195541779046</v>
      </c>
      <c r="F7" s="119" t="n">
        <v>638</v>
      </c>
      <c r="G7" s="119" t="n">
        <v>4574</v>
      </c>
      <c r="H7" s="116" t="n">
        <f aca="false">IF(ISERROR(G7/F7),"",ROUND(G7/F7,1))</f>
        <v>7.2</v>
      </c>
      <c r="I7" s="115" t="n">
        <f aca="false">IF(ISERROR(F7/$F$26),"",F7/$F$26)</f>
        <v>0.0440699039856324</v>
      </c>
      <c r="J7" s="115" t="n">
        <f aca="false">IF(ISERROR(G7/$G$26),"",G7/$G$26)</f>
        <v>0.0434753680768756</v>
      </c>
      <c r="K7" s="119" t="n">
        <v>10</v>
      </c>
      <c r="L7" s="115" t="n">
        <f aca="false">IF(ISERROR(K7/F7),"",K7/F7)</f>
        <v>0.0156739811912226</v>
      </c>
      <c r="M7" s="115" t="n">
        <f aca="false">IF(ISERROR(K7/$K$26),"",K7/$K$26)</f>
        <v>0.0174825174825175</v>
      </c>
      <c r="N7" s="119" t="n">
        <v>0</v>
      </c>
      <c r="O7" s="117" t="n">
        <f aca="false">IF(ISERROR(N7/$F7),"",N7/$F7)</f>
        <v>0</v>
      </c>
      <c r="P7" s="119" t="n">
        <v>24</v>
      </c>
      <c r="Q7" s="118" t="n">
        <f aca="false">IF(ISERROR(P7/$F7),"",P7/$F7)</f>
        <v>0.0376175548589342</v>
      </c>
    </row>
    <row collapsed="false" customFormat="false" customHeight="false" hidden="false" ht="23.85" outlineLevel="0" r="8">
      <c r="B8" s="113" t="s">
        <v>190</v>
      </c>
      <c r="C8" s="114" t="s">
        <v>191</v>
      </c>
      <c r="D8" s="109" t="n">
        <v>8191</v>
      </c>
      <c r="E8" s="115" t="n">
        <f aca="false">IF(ISERROR(D8/$D$26),"",D8/$D$26)</f>
        <v>0.0354605630571153</v>
      </c>
      <c r="F8" s="109" t="n">
        <v>180</v>
      </c>
      <c r="G8" s="109" t="n">
        <v>1722</v>
      </c>
      <c r="H8" s="116" t="n">
        <f aca="false">IF(ISERROR(G8/F8),"",ROUND(G8/F8,1))</f>
        <v>9.6</v>
      </c>
      <c r="I8" s="115" t="n">
        <f aca="false">IF(ISERROR(F8/$F$26),"",F8/$F$26)</f>
        <v>0.0124335152310562</v>
      </c>
      <c r="J8" s="115" t="n">
        <f aca="false">IF(ISERROR(G8/$G$26),"",G8/$G$26)</f>
        <v>0.0163674210381241</v>
      </c>
      <c r="K8" s="109" t="n">
        <v>16</v>
      </c>
      <c r="L8" s="115" t="n">
        <f aca="false">IF(ISERROR(K8/F8),"",K8/F8)</f>
        <v>0.0888888888888889</v>
      </c>
      <c r="M8" s="115" t="n">
        <f aca="false">IF(ISERROR(K8/$K$26),"",K8/$K$26)</f>
        <v>0.027972027972028</v>
      </c>
      <c r="N8" s="109" t="n">
        <v>1</v>
      </c>
      <c r="O8" s="117" t="n">
        <f aca="false">IF(ISERROR(N8/$F8),"",N8/$F8)</f>
        <v>0.00555555555555556</v>
      </c>
      <c r="P8" s="109" t="n">
        <v>10</v>
      </c>
      <c r="Q8" s="118" t="n">
        <f aca="false">IF(ISERROR(P8/$F8),"",P8/$F8)</f>
        <v>0.0555555555555556</v>
      </c>
    </row>
    <row collapsed="false" customFormat="false" customHeight="false" hidden="false" ht="14" outlineLevel="0" r="9">
      <c r="B9" s="113" t="s">
        <v>192</v>
      </c>
      <c r="C9" s="114" t="s">
        <v>193</v>
      </c>
      <c r="D9" s="109" t="n">
        <v>10709</v>
      </c>
      <c r="E9" s="115" t="n">
        <f aca="false">IF(ISERROR(D9/$D$26),"",D9/$D$26)</f>
        <v>0.0463615150505002</v>
      </c>
      <c r="F9" s="109" t="n">
        <v>15</v>
      </c>
      <c r="G9" s="109" t="n">
        <v>117</v>
      </c>
      <c r="H9" s="116" t="n">
        <f aca="false">IF(ISERROR(G9/F9),"",ROUND(G9/F9,1))</f>
        <v>7.8</v>
      </c>
      <c r="I9" s="115" t="n">
        <f aca="false">IF(ISERROR(F9/$F$26),"",F9/$F$26)</f>
        <v>0.00103612626925468</v>
      </c>
      <c r="J9" s="115" t="n">
        <f aca="false">IF(ISERROR(G9/$G$26),"",G9/$G$26)</f>
        <v>0.0011120721611269</v>
      </c>
      <c r="K9" s="109" t="n">
        <v>0</v>
      </c>
      <c r="L9" s="115" t="n">
        <f aca="false">IF(ISERROR(K9/F9),"",K9/F9)</f>
        <v>0</v>
      </c>
      <c r="M9" s="115" t="n">
        <f aca="false">IF(ISERROR(K9/$K$26),"",K9/$K$26)</f>
        <v>0</v>
      </c>
      <c r="N9" s="109" t="n">
        <v>1</v>
      </c>
      <c r="O9" s="117" t="n">
        <f aca="false">IF(ISERROR(N9/$F9),"",N9/$F9)</f>
        <v>0.0666666666666667</v>
      </c>
      <c r="P9" s="109" t="n">
        <v>1</v>
      </c>
      <c r="Q9" s="118" t="n">
        <f aca="false">IF(ISERROR(P9/$F9),"",P9/$F9)</f>
        <v>0.0666666666666667</v>
      </c>
    </row>
    <row collapsed="false" customFormat="false" customHeight="false" hidden="false" ht="14" outlineLevel="0" r="10">
      <c r="B10" s="113" t="s">
        <v>194</v>
      </c>
      <c r="C10" s="114" t="s">
        <v>195</v>
      </c>
      <c r="D10" s="109" t="n">
        <v>11353</v>
      </c>
      <c r="E10" s="115" t="n">
        <f aca="false">IF(ISERROR(D10/$D$26),"",D10/$D$26)</f>
        <v>0.0491495266008338</v>
      </c>
      <c r="F10" s="109" t="n">
        <v>372</v>
      </c>
      <c r="G10" s="109" t="n">
        <v>5777</v>
      </c>
      <c r="H10" s="116" t="n">
        <f aca="false">IF(ISERROR(G10/F10),"",ROUND(G10/F10,1))</f>
        <v>15.5</v>
      </c>
      <c r="I10" s="115" t="n">
        <f aca="false">IF(ISERROR(F10/$F$26),"",F10/$F$26)</f>
        <v>0.0256959314775161</v>
      </c>
      <c r="J10" s="115" t="n">
        <f aca="false">IF(ISERROR(G10/$G$26),"",G10/$G$26)</f>
        <v>0.0549097510669239</v>
      </c>
      <c r="K10" s="109" t="n">
        <v>29</v>
      </c>
      <c r="L10" s="115" t="n">
        <f aca="false">IF(ISERROR(K10/F10),"",K10/F10)</f>
        <v>0.0779569892473118</v>
      </c>
      <c r="M10" s="115" t="n">
        <f aca="false">IF(ISERROR(K10/$K$26),"",K10/$K$26)</f>
        <v>0.0506993006993007</v>
      </c>
      <c r="N10" s="109" t="n">
        <v>4</v>
      </c>
      <c r="O10" s="117" t="n">
        <f aca="false">IF(ISERROR(N10/$F10),"",N10/$F10)</f>
        <v>0.010752688172043</v>
      </c>
      <c r="P10" s="109" t="n">
        <v>48</v>
      </c>
      <c r="Q10" s="118" t="n">
        <f aca="false">IF(ISERROR(P10/$F10),"",P10/$F10)</f>
        <v>0.129032258064516</v>
      </c>
    </row>
    <row collapsed="false" customFormat="false" customHeight="false" hidden="false" ht="14" outlineLevel="0" r="11">
      <c r="B11" s="113" t="s">
        <v>196</v>
      </c>
      <c r="C11" s="114" t="s">
        <v>197</v>
      </c>
      <c r="D11" s="109" t="n">
        <v>12118</v>
      </c>
      <c r="E11" s="115" t="n">
        <f aca="false">IF(ISERROR(D11/$D$26),"",D11/$D$26)</f>
        <v>0.0524613726194754</v>
      </c>
      <c r="F11" s="109" t="n">
        <v>437</v>
      </c>
      <c r="G11" s="109" t="n">
        <v>1868</v>
      </c>
      <c r="H11" s="116" t="n">
        <f aca="false">IF(ISERROR(G11/F11),"",ROUND(G11/F11,1))</f>
        <v>4.3</v>
      </c>
      <c r="I11" s="115" t="n">
        <f aca="false">IF(ISERROR(F11/$F$26),"",F11/$F$26)</f>
        <v>0.0301858119776197</v>
      </c>
      <c r="J11" s="115" t="n">
        <f aca="false">IF(ISERROR(G11/$G$26),"",G11/$G$26)</f>
        <v>0.0177551350169662</v>
      </c>
      <c r="K11" s="109" t="n">
        <v>0</v>
      </c>
      <c r="L11" s="115" t="n">
        <f aca="false">IF(ISERROR(K11/F11),"",K11/F11)</f>
        <v>0</v>
      </c>
      <c r="M11" s="115" t="n">
        <f aca="false">IF(ISERROR(K11/$K$26),"",K11/$K$26)</f>
        <v>0</v>
      </c>
      <c r="N11" s="109" t="n">
        <v>0</v>
      </c>
      <c r="O11" s="117" t="n">
        <f aca="false">IF(ISERROR(N11/$F11),"",N11/$F11)</f>
        <v>0</v>
      </c>
      <c r="P11" s="109" t="n">
        <v>22</v>
      </c>
      <c r="Q11" s="118" t="n">
        <f aca="false">IF(ISERROR(P11/$F11),"",P11/$F11)</f>
        <v>0.0503432494279176</v>
      </c>
    </row>
    <row collapsed="false" customFormat="false" customHeight="false" hidden="false" ht="23.85" outlineLevel="0" r="12">
      <c r="B12" s="113" t="s">
        <v>198</v>
      </c>
      <c r="C12" s="114" t="s">
        <v>199</v>
      </c>
      <c r="D12" s="109" t="n">
        <v>3506</v>
      </c>
      <c r="E12" s="115" t="n">
        <f aca="false">IF(ISERROR(D12/$D$26),"",D12/$D$26)</f>
        <v>0.0151782119494868</v>
      </c>
      <c r="F12" s="109" t="n">
        <v>72</v>
      </c>
      <c r="G12" s="109" t="n">
        <v>267</v>
      </c>
      <c r="H12" s="116" t="n">
        <f aca="false">IF(ISERROR(G12/F12),"",ROUND(G12/F12,1))</f>
        <v>3.7</v>
      </c>
      <c r="I12" s="115" t="n">
        <f aca="false">IF(ISERROR(F12/$F$26),"",F12/$F$26)</f>
        <v>0.00497340609242246</v>
      </c>
      <c r="J12" s="115" t="n">
        <f aca="false">IF(ISERROR(G12/$G$26),"",G12/$G$26)</f>
        <v>0.00253780570103318</v>
      </c>
      <c r="K12" s="109" t="n">
        <v>0</v>
      </c>
      <c r="L12" s="115" t="n">
        <f aca="false">IF(ISERROR(K12/F12),"",K12/F12)</f>
        <v>0</v>
      </c>
      <c r="M12" s="115" t="n">
        <f aca="false">IF(ISERROR(K12/$K$26),"",K12/$K$26)</f>
        <v>0</v>
      </c>
      <c r="N12" s="109" t="n">
        <v>1</v>
      </c>
      <c r="O12" s="117" t="n">
        <f aca="false">IF(ISERROR(N12/$F12),"",N12/$F12)</f>
        <v>0.0138888888888889</v>
      </c>
      <c r="P12" s="109" t="n">
        <v>0</v>
      </c>
      <c r="Q12" s="118" t="n">
        <f aca="false">IF(ISERROR(P12/$F12),"",P12/$F12)</f>
        <v>0</v>
      </c>
    </row>
    <row collapsed="false" customFormat="false" customHeight="false" hidden="false" ht="14" outlineLevel="0" r="13">
      <c r="B13" s="113" t="s">
        <v>200</v>
      </c>
      <c r="C13" s="114" t="s">
        <v>201</v>
      </c>
      <c r="D13" s="109" t="n">
        <v>2208</v>
      </c>
      <c r="E13" s="115" t="n">
        <f aca="false">IF(ISERROR(D13/$D$26),"",D13/$D$26)</f>
        <v>0.0095588967440008</v>
      </c>
      <c r="F13" s="109" t="n">
        <v>267</v>
      </c>
      <c r="G13" s="109" t="n">
        <v>2526</v>
      </c>
      <c r="H13" s="116" t="n">
        <f aca="false">IF(ISERROR(G13/F13),"",ROUND(G13/F13,1))</f>
        <v>9.5</v>
      </c>
      <c r="I13" s="115" t="n">
        <f aca="false">IF(ISERROR(F13/$F$26),"",F13/$F$26)</f>
        <v>0.0184430475927333</v>
      </c>
      <c r="J13" s="115" t="n">
        <f aca="false">IF(ISERROR(G13/$G$26),"",G13/$G$26)</f>
        <v>0.0240093528120218</v>
      </c>
      <c r="K13" s="109" t="n">
        <v>17</v>
      </c>
      <c r="L13" s="115" t="n">
        <f aca="false">IF(ISERROR(K13/F13),"",K13/F13)</f>
        <v>0.0636704119850187</v>
      </c>
      <c r="M13" s="115" t="n">
        <f aca="false">IF(ISERROR(K13/$K$26),"",K13/$K$26)</f>
        <v>0.0297202797202797</v>
      </c>
      <c r="N13" s="109" t="n">
        <v>0</v>
      </c>
      <c r="O13" s="117" t="n">
        <f aca="false">IF(ISERROR(N13/$F13),"",N13/$F13)</f>
        <v>0</v>
      </c>
      <c r="P13" s="109" t="n">
        <v>24</v>
      </c>
      <c r="Q13" s="118" t="n">
        <f aca="false">IF(ISERROR(P13/$F13),"",P13/$F13)</f>
        <v>0.0898876404494382</v>
      </c>
    </row>
    <row collapsed="false" customFormat="false" customHeight="false" hidden="false" ht="14" outlineLevel="0" r="14">
      <c r="B14" s="113" t="s">
        <v>202</v>
      </c>
      <c r="C14" s="114" t="s">
        <v>203</v>
      </c>
      <c r="D14" s="109" t="n">
        <v>43494</v>
      </c>
      <c r="E14" s="115" t="n">
        <f aca="false">IF(ISERROR(D14/$D$26),"",D14/$D$26)</f>
        <v>0.188294680699081</v>
      </c>
      <c r="F14" s="109" t="n">
        <v>1742</v>
      </c>
      <c r="G14" s="109" t="n">
        <v>9225</v>
      </c>
      <c r="H14" s="116" t="n">
        <f aca="false">IF(ISERROR(G14/F14),"",ROUND(G14/F14,1))</f>
        <v>5.3</v>
      </c>
      <c r="I14" s="115" t="n">
        <f aca="false">IF(ISERROR(F14/$F$26),"",F14/$F$26)</f>
        <v>0.120328797402777</v>
      </c>
      <c r="J14" s="115" t="n">
        <f aca="false">IF(ISERROR(G14/$G$26),"",G14/$G$26)</f>
        <v>0.0876826127042363</v>
      </c>
      <c r="K14" s="109" t="n">
        <v>52</v>
      </c>
      <c r="L14" s="115" t="n">
        <f aca="false">IF(ISERROR(K14/F14),"",K14/F14)</f>
        <v>0.0298507462686567</v>
      </c>
      <c r="M14" s="115" t="n">
        <f aca="false">IF(ISERROR(K14/$K$26),"",K14/$K$26)</f>
        <v>0.0909090909090909</v>
      </c>
      <c r="N14" s="109" t="n">
        <v>220</v>
      </c>
      <c r="O14" s="117" t="n">
        <f aca="false">IF(ISERROR(N14/$F14),"",N14/$F14)</f>
        <v>0.126291618828932</v>
      </c>
      <c r="P14" s="109" t="n">
        <v>133</v>
      </c>
      <c r="Q14" s="118" t="n">
        <f aca="false">IF(ISERROR(P14/$F14),"",P14/$F14)</f>
        <v>0.0763490241102181</v>
      </c>
    </row>
    <row collapsed="false" customFormat="false" customHeight="false" hidden="false" ht="14" outlineLevel="0" r="15">
      <c r="B15" s="113" t="s">
        <v>204</v>
      </c>
      <c r="C15" s="114" t="s">
        <v>205</v>
      </c>
      <c r="D15" s="109" t="n">
        <v>10325</v>
      </c>
      <c r="E15" s="115" t="n">
        <f aca="false">IF(ISERROR(D15/$D$26),"",D15/$D$26)</f>
        <v>0.0446990982254566</v>
      </c>
      <c r="F15" s="109" t="n">
        <v>1881</v>
      </c>
      <c r="G15" s="109" t="n">
        <v>8412</v>
      </c>
      <c r="H15" s="116" t="n">
        <f aca="false">IF(ISERROR(G15/F15),"",ROUND(G15/F15,1))</f>
        <v>4.5</v>
      </c>
      <c r="I15" s="115" t="n">
        <f aca="false">IF(ISERROR(F15/$F$26),"",F15/$F$26)</f>
        <v>0.129930234164537</v>
      </c>
      <c r="J15" s="115" t="n">
        <f aca="false">IF(ISERROR(G15/$G$26),"",G15/$G$26)</f>
        <v>0.0799551369179443</v>
      </c>
      <c r="K15" s="109" t="n">
        <v>29</v>
      </c>
      <c r="L15" s="115" t="n">
        <f aca="false">IF(ISERROR(K15/F15),"",K15/F15)</f>
        <v>0.0154173312068049</v>
      </c>
      <c r="M15" s="115" t="n">
        <f aca="false">IF(ISERROR(K15/$K$26),"",K15/$K$26)</f>
        <v>0.0506993006993007</v>
      </c>
      <c r="N15" s="109" t="n">
        <v>36</v>
      </c>
      <c r="O15" s="117" t="n">
        <f aca="false">IF(ISERROR(N15/$F15),"",N15/$F15)</f>
        <v>0.0191387559808612</v>
      </c>
      <c r="P15" s="109" t="n">
        <v>52</v>
      </c>
      <c r="Q15" s="118" t="n">
        <f aca="false">IF(ISERROR(P15/$F15),"",P15/$F15)</f>
        <v>0.0276448697501329</v>
      </c>
    </row>
    <row collapsed="false" customFormat="false" customHeight="false" hidden="false" ht="14" outlineLevel="0" r="16">
      <c r="B16" s="113" t="s">
        <v>206</v>
      </c>
      <c r="C16" s="114" t="s">
        <v>207</v>
      </c>
      <c r="D16" s="109" t="n">
        <v>7825</v>
      </c>
      <c r="E16" s="115" t="n">
        <f aca="false">IF(ISERROR(D16/$D$26),"",D16/$D$26)</f>
        <v>0.0338760720207456</v>
      </c>
      <c r="F16" s="109" t="n">
        <v>295</v>
      </c>
      <c r="G16" s="109" t="n">
        <v>2818</v>
      </c>
      <c r="H16" s="116" t="n">
        <f aca="false">IF(ISERROR(G16/F16),"",ROUND(G16/F16,1))</f>
        <v>9.6</v>
      </c>
      <c r="I16" s="115" t="n">
        <f aca="false">IF(ISERROR(F16/$F$26),"",F16/$F$26)</f>
        <v>0.0203771499620087</v>
      </c>
      <c r="J16" s="115" t="n">
        <f aca="false">IF(ISERROR(G16/$G$26),"",G16/$G$26)</f>
        <v>0.026784780769706</v>
      </c>
      <c r="K16" s="109" t="n">
        <v>4</v>
      </c>
      <c r="L16" s="115" t="n">
        <f aca="false">IF(ISERROR(K16/F16),"",K16/F16)</f>
        <v>0.0135593220338983</v>
      </c>
      <c r="M16" s="115" t="n">
        <f aca="false">IF(ISERROR(K16/$K$26),"",K16/$K$26)</f>
        <v>0.00699300699300699</v>
      </c>
      <c r="N16" s="109" t="n">
        <v>14</v>
      </c>
      <c r="O16" s="117" t="n">
        <f aca="false">IF(ISERROR(N16/$F16),"",N16/$F16)</f>
        <v>0.0474576271186441</v>
      </c>
      <c r="P16" s="109" t="n">
        <v>15</v>
      </c>
      <c r="Q16" s="118" t="n">
        <f aca="false">IF(ISERROR(P16/$F16),"",P16/$F16)</f>
        <v>0.0508474576271187</v>
      </c>
    </row>
    <row collapsed="false" customFormat="false" customHeight="false" hidden="false" ht="23.85" outlineLevel="0" r="17">
      <c r="B17" s="113" t="s">
        <v>208</v>
      </c>
      <c r="C17" s="114" t="s">
        <v>209</v>
      </c>
      <c r="D17" s="109" t="n">
        <v>6405</v>
      </c>
      <c r="E17" s="115" t="n">
        <f aca="false">IF(ISERROR(D17/$D$26),"",D17/$D$26)</f>
        <v>0.0277285931364697</v>
      </c>
      <c r="F17" s="109" t="n">
        <v>427</v>
      </c>
      <c r="G17" s="109" t="n">
        <v>3693</v>
      </c>
      <c r="H17" s="116" t="n">
        <f aca="false">IF(ISERROR(G17/F17),"",ROUND(G17/F17,1))</f>
        <v>8.6</v>
      </c>
      <c r="I17" s="115" t="n">
        <f aca="false">IF(ISERROR(F17/$F$26),"",F17/$F$26)</f>
        <v>0.0294950611314499</v>
      </c>
      <c r="J17" s="115" t="n">
        <f aca="false">IF(ISERROR(G17/$G$26),"",G17/$G$26)</f>
        <v>0.0351015597524927</v>
      </c>
      <c r="K17" s="109" t="n">
        <v>2</v>
      </c>
      <c r="L17" s="115" t="n">
        <f aca="false">IF(ISERROR(K17/F17),"",K17/F17)</f>
        <v>0.00468384074941452</v>
      </c>
      <c r="M17" s="115" t="n">
        <f aca="false">IF(ISERROR(K17/$K$26),"",K17/$K$26)</f>
        <v>0.0034965034965035</v>
      </c>
      <c r="N17" s="109" t="n">
        <v>1</v>
      </c>
      <c r="O17" s="117" t="n">
        <f aca="false">IF(ISERROR(N17/$F17),"",N17/$F17)</f>
        <v>0.00234192037470726</v>
      </c>
      <c r="P17" s="109" t="n">
        <v>7</v>
      </c>
      <c r="Q17" s="118" t="n">
        <f aca="false">IF(ISERROR(P17/$F17),"",P17/$F17)</f>
        <v>0.0163934426229508</v>
      </c>
    </row>
    <row collapsed="false" customFormat="false" customHeight="false" hidden="false" ht="14" outlineLevel="0" r="18">
      <c r="B18" s="113" t="s">
        <v>210</v>
      </c>
      <c r="C18" s="114" t="s">
        <v>211</v>
      </c>
      <c r="D18" s="109" t="n">
        <v>10194</v>
      </c>
      <c r="E18" s="115" t="n">
        <f aca="false">IF(ISERROR(D18/$D$26),"",D18/$D$26)</f>
        <v>0.0441319716523298</v>
      </c>
      <c r="F18" s="109" t="n">
        <v>424</v>
      </c>
      <c r="G18" s="109" t="n">
        <v>2641</v>
      </c>
      <c r="H18" s="116" t="n">
        <f aca="false">IF(ISERROR(G18/F18),"",ROUND(G18/F18,1))</f>
        <v>6.2</v>
      </c>
      <c r="I18" s="115" t="n">
        <f aca="false">IF(ISERROR(F18/$F$26),"",F18/$F$26)</f>
        <v>0.029287835877599</v>
      </c>
      <c r="J18" s="115" t="n">
        <f aca="false">IF(ISERROR(G18/$G$26),"",G18/$G$26)</f>
        <v>0.0251024151926166</v>
      </c>
      <c r="K18" s="109" t="n">
        <v>13</v>
      </c>
      <c r="L18" s="115" t="n">
        <f aca="false">IF(ISERROR(K18/F18),"",K18/F18)</f>
        <v>0.0306603773584906</v>
      </c>
      <c r="M18" s="115" t="n">
        <f aca="false">IF(ISERROR(K18/$K$26),"",K18/$K$26)</f>
        <v>0.0227272727272727</v>
      </c>
      <c r="N18" s="109" t="n">
        <v>11</v>
      </c>
      <c r="O18" s="117" t="n">
        <f aca="false">IF(ISERROR(N18/$F18),"",N18/$F18)</f>
        <v>0.0259433962264151</v>
      </c>
      <c r="P18" s="109" t="n">
        <v>18</v>
      </c>
      <c r="Q18" s="118" t="n">
        <f aca="false">IF(ISERROR(P18/$F18),"",P18/$F18)</f>
        <v>0.0424528301886792</v>
      </c>
    </row>
    <row collapsed="false" customFormat="false" customHeight="false" hidden="false" ht="14" outlineLevel="0" r="19">
      <c r="B19" s="113" t="s">
        <v>212</v>
      </c>
      <c r="C19" s="114" t="s">
        <v>213</v>
      </c>
      <c r="D19" s="109"/>
      <c r="E19" s="115" t="n">
        <f aca="false">IF(ISERROR(D19/$D$26),"",D19/$D$26)</f>
        <v>0</v>
      </c>
      <c r="F19" s="109"/>
      <c r="G19" s="109"/>
      <c r="H19" s="116" t="str">
        <f aca="false">IF(ISERROR(G19/F19),"",ROUND(G19/F19,1))</f>
        <v/>
      </c>
      <c r="I19" s="115" t="n">
        <f aca="false">IF(ISERROR(F19/$F$26),"",F19/$F$26)</f>
        <v>0</v>
      </c>
      <c r="J19" s="115" t="n">
        <f aca="false">IF(ISERROR(G19/$G$26),"",G19/$G$26)</f>
        <v>0</v>
      </c>
      <c r="K19" s="109"/>
      <c r="L19" s="115" t="str">
        <f aca="false">IF(ISERROR(K19/F19),"",K19/F19)</f>
        <v/>
      </c>
      <c r="M19" s="115" t="n">
        <f aca="false">IF(ISERROR(K19/$K$26),"",K19/$K$26)</f>
        <v>0</v>
      </c>
      <c r="N19" s="109"/>
      <c r="O19" s="117" t="str">
        <f aca="false">IF(ISERROR(N19/$F19),"",N19/$F19)</f>
        <v/>
      </c>
      <c r="P19" s="109"/>
      <c r="Q19" s="118" t="str">
        <f aca="false">IF(ISERROR(P19/$F19),"",P19/$F19)</f>
        <v/>
      </c>
    </row>
    <row collapsed="false" customFormat="false" customHeight="false" hidden="false" ht="23.85" outlineLevel="0" r="20">
      <c r="B20" s="113" t="s">
        <v>214</v>
      </c>
      <c r="C20" s="114" t="s">
        <v>215</v>
      </c>
      <c r="D20" s="119" t="n">
        <v>970</v>
      </c>
      <c r="E20" s="115" t="n">
        <f aca="false">IF(ISERROR(D20/$D$26),"",D20/$D$26)</f>
        <v>0.00419933416742789</v>
      </c>
      <c r="F20" s="119" t="n">
        <v>696</v>
      </c>
      <c r="G20" s="119" t="n">
        <v>12003</v>
      </c>
      <c r="H20" s="116" t="n">
        <f aca="false">IF(ISERROR(G20/F20),"",ROUND(G20/F20,1))</f>
        <v>17.2</v>
      </c>
      <c r="I20" s="115" t="n">
        <f aca="false">IF(ISERROR(F20/$F$26),"",F20/$F$26)</f>
        <v>0.0480762588934171</v>
      </c>
      <c r="J20" s="115" t="n">
        <f aca="false">IF(ISERROR(G20/$G$26),"",G20/$G$26)</f>
        <v>0.114087197863301</v>
      </c>
      <c r="K20" s="119" t="n">
        <v>125</v>
      </c>
      <c r="L20" s="115" t="n">
        <f aca="false">IF(ISERROR(K20/F20),"",K20/F20)</f>
        <v>0.179597701149425</v>
      </c>
      <c r="M20" s="115" t="n">
        <f aca="false">IF(ISERROR(K20/$K$26),"",K20/$K$26)</f>
        <v>0.218531468531469</v>
      </c>
      <c r="N20" s="119" t="n">
        <v>24</v>
      </c>
      <c r="O20" s="117" t="n">
        <f aca="false">IF(ISERROR(N20/$F20),"",N20/$F20)</f>
        <v>0.0344827586206897</v>
      </c>
      <c r="P20" s="119" t="n">
        <v>160</v>
      </c>
      <c r="Q20" s="118" t="n">
        <f aca="false">IF(ISERROR(P20/$F20),"",P20/$F20)</f>
        <v>0.229885057471264</v>
      </c>
    </row>
    <row collapsed="false" customFormat="false" customHeight="false" hidden="false" ht="23.85" outlineLevel="0" r="21">
      <c r="B21" s="113" t="s">
        <v>216</v>
      </c>
      <c r="C21" s="114" t="s">
        <v>217</v>
      </c>
      <c r="D21" s="109" t="n">
        <v>18314</v>
      </c>
      <c r="E21" s="115" t="n">
        <f aca="false">IF(ISERROR(D21/$D$26),"",D21/$D$26)</f>
        <v>0.0792851607652313</v>
      </c>
      <c r="F21" s="109" t="n">
        <v>1360</v>
      </c>
      <c r="G21" s="109" t="n">
        <v>13850</v>
      </c>
      <c r="H21" s="116" t="n">
        <f aca="false">IF(ISERROR(G21/F21),"",ROUND(G21/F21,1))</f>
        <v>10.2</v>
      </c>
      <c r="I21" s="115" t="n">
        <f aca="false">IF(ISERROR(F21/$F$26),"",F21/$F$26)</f>
        <v>0.093942115079091</v>
      </c>
      <c r="J21" s="115" t="n">
        <f aca="false">IF(ISERROR(G21/$G$26),"",G21/$G$26)</f>
        <v>0.13164273018468</v>
      </c>
      <c r="K21" s="109" t="n">
        <v>129</v>
      </c>
      <c r="L21" s="115" t="n">
        <f aca="false">IF(ISERROR(K21/F21),"",K21/F21)</f>
        <v>0.0948529411764706</v>
      </c>
      <c r="M21" s="115" t="n">
        <f aca="false">IF(ISERROR(K21/$K$26),"",K21/$K$26)</f>
        <v>0.225524475524475</v>
      </c>
      <c r="N21" s="109" t="n">
        <v>1</v>
      </c>
      <c r="O21" s="117" t="n">
        <f aca="false">IF(ISERROR(N21/$F21),"",N21/$F21)</f>
        <v>0.000735294117647059</v>
      </c>
      <c r="P21" s="109" t="n">
        <v>31</v>
      </c>
      <c r="Q21" s="118" t="n">
        <f aca="false">IF(ISERROR(P21/$F21),"",P21/$F21)</f>
        <v>0.0227941176470588</v>
      </c>
    </row>
    <row collapsed="false" customFormat="false" customHeight="false" hidden="false" ht="23.85" outlineLevel="0" r="22">
      <c r="B22" s="113" t="s">
        <v>218</v>
      </c>
      <c r="C22" s="114" t="s">
        <v>219</v>
      </c>
      <c r="D22" s="109" t="n">
        <v>16840</v>
      </c>
      <c r="E22" s="115" t="n">
        <f aca="false">IF(ISERROR(D22/$D$26),"",D22/$D$26)</f>
        <v>0.0729039045149336</v>
      </c>
      <c r="F22" s="109" t="n">
        <v>881</v>
      </c>
      <c r="G22" s="109" t="n">
        <v>3259</v>
      </c>
      <c r="H22" s="116" t="n">
        <f aca="false">IF(ISERROR(G22/F22),"",ROUND(G22/F22,1))</f>
        <v>3.7</v>
      </c>
      <c r="I22" s="115" t="n">
        <f aca="false">IF(ISERROR(F22/$F$26),"",F22/$F$26)</f>
        <v>0.0608551495475582</v>
      </c>
      <c r="J22" s="115" t="n">
        <f aca="false">IF(ISERROR(G22/$G$26),"",G22/$G$26)</f>
        <v>0.0309764373770305</v>
      </c>
      <c r="K22" s="109" t="n">
        <v>6</v>
      </c>
      <c r="L22" s="115" t="n">
        <f aca="false">IF(ISERROR(K22/F22),"",K22/F22)</f>
        <v>0.00681044267877412</v>
      </c>
      <c r="M22" s="115" t="n">
        <f aca="false">IF(ISERROR(K22/$K$26),"",K22/$K$26)</f>
        <v>0.0104895104895105</v>
      </c>
      <c r="N22" s="109" t="n">
        <v>24</v>
      </c>
      <c r="O22" s="117" t="n">
        <f aca="false">IF(ISERROR(N22/$F22),"",N22/$F22)</f>
        <v>0.0272417707150965</v>
      </c>
      <c r="P22" s="109" t="n">
        <v>126</v>
      </c>
      <c r="Q22" s="118" t="n">
        <f aca="false">IF(ISERROR(P22/$F22),"",P22/$F22)</f>
        <v>0.143019296254257</v>
      </c>
    </row>
    <row collapsed="false" customFormat="false" customHeight="false" hidden="false" ht="23.85" outlineLevel="0" r="23">
      <c r="B23" s="113" t="s">
        <v>220</v>
      </c>
      <c r="C23" s="114" t="s">
        <v>221</v>
      </c>
      <c r="D23" s="109" t="n">
        <v>15202</v>
      </c>
      <c r="E23" s="115" t="n">
        <f aca="false">IF(ISERROR(D23/$D$26),"",D23/$D$26)</f>
        <v>0.0658126577456069</v>
      </c>
      <c r="F23" s="109" t="n">
        <v>2697</v>
      </c>
      <c r="G23" s="109" t="n">
        <v>16615</v>
      </c>
      <c r="H23" s="116" t="n">
        <f aca="false">IF(ISERROR(G23/F23),"",ROUND(G23/F23,1))</f>
        <v>6.2</v>
      </c>
      <c r="I23" s="115" t="n">
        <f aca="false">IF(ISERROR(F23/$F$26),"",F23/$F$26)</f>
        <v>0.186295503211991</v>
      </c>
      <c r="J23" s="115" t="n">
        <f aca="false">IF(ISERROR(G23/$G$26),"",G23/$G$26)</f>
        <v>0.157923751770286</v>
      </c>
      <c r="K23" s="109" t="n">
        <v>32</v>
      </c>
      <c r="L23" s="115" t="n">
        <f aca="false">IF(ISERROR(K23/F23),"",K23/F23)</f>
        <v>0.0118650352243233</v>
      </c>
      <c r="M23" s="115" t="n">
        <f aca="false">IF(ISERROR(K23/$K$26),"",K23/$K$26)</f>
        <v>0.0559440559440559</v>
      </c>
      <c r="N23" s="109" t="n">
        <v>1</v>
      </c>
      <c r="O23" s="117" t="n">
        <f aca="false">IF(ISERROR(N23/$F23),"",N23/$F23)</f>
        <v>0.000370782350760104</v>
      </c>
      <c r="P23" s="109" t="n">
        <v>200</v>
      </c>
      <c r="Q23" s="118" t="n">
        <f aca="false">IF(ISERROR(P23/$F23),"",P23/$F23)</f>
        <v>0.0741564701520208</v>
      </c>
    </row>
    <row collapsed="false" customFormat="false" customHeight="false" hidden="false" ht="14" outlineLevel="0" r="24">
      <c r="B24" s="113" t="s">
        <v>222</v>
      </c>
      <c r="C24" s="114" t="s">
        <v>223</v>
      </c>
      <c r="D24" s="119"/>
      <c r="E24" s="115" t="n">
        <f aca="false">IF(ISERROR(D24/$D$26),"",D24/$D$26)</f>
        <v>0</v>
      </c>
      <c r="F24" s="119"/>
      <c r="G24" s="119"/>
      <c r="H24" s="116" t="str">
        <f aca="false">IF(ISERROR(G24/F24),"",ROUND(G24/F24,1))</f>
        <v/>
      </c>
      <c r="I24" s="115" t="n">
        <f aca="false">IF(ISERROR(F24/$F$26),"",F24/$F$26)</f>
        <v>0</v>
      </c>
      <c r="J24" s="115" t="n">
        <f aca="false">IF(ISERROR(G24/$G$26),"",G24/$G$26)</f>
        <v>0</v>
      </c>
      <c r="K24" s="119"/>
      <c r="L24" s="115" t="str">
        <f aca="false">IF(ISERROR(K24/F24),"",K24/F24)</f>
        <v/>
      </c>
      <c r="M24" s="115" t="n">
        <f aca="false">IF(ISERROR(K24/$K$26),"",K24/$K$26)</f>
        <v>0</v>
      </c>
      <c r="N24" s="119"/>
      <c r="O24" s="117" t="str">
        <f aca="false">IF(ISERROR(N24/$F24),"",N24/$F24)</f>
        <v/>
      </c>
      <c r="P24" s="119"/>
      <c r="Q24" s="118" t="str">
        <f aca="false">IF(ISERROR(P24/$F24),"",P24/$F24)</f>
        <v/>
      </c>
    </row>
    <row collapsed="false" customFormat="false" customHeight="false" hidden="false" ht="23.85" outlineLevel="0" r="25">
      <c r="B25" s="120" t="s">
        <v>224</v>
      </c>
      <c r="C25" s="121" t="s">
        <v>225</v>
      </c>
      <c r="D25" s="122" t="n">
        <v>19966</v>
      </c>
      <c r="E25" s="123" t="n">
        <f aca="false">IF(ISERROR(D25/$D$26),"",D25/$D$26)</f>
        <v>0.0864370164813043</v>
      </c>
      <c r="F25" s="122" t="n">
        <v>535</v>
      </c>
      <c r="G25" s="122" t="n">
        <v>2627</v>
      </c>
      <c r="H25" s="124" t="n">
        <f aca="false">IF(ISERROR(G25/F25),"",ROUND(G25/F25,1))</f>
        <v>4.9</v>
      </c>
      <c r="I25" s="123" t="n">
        <f aca="false">IF(ISERROR(F25/$F$26),"",F25/$F$26)</f>
        <v>0.0369551702700836</v>
      </c>
      <c r="J25" s="123" t="n">
        <f aca="false">IF(ISERROR(G25/$G$26),"",G25/$G$26)</f>
        <v>0.024969346728892</v>
      </c>
      <c r="K25" s="122" t="n">
        <v>0</v>
      </c>
      <c r="L25" s="123" t="n">
        <f aca="false">IF(ISERROR(K25/F25),"",K25/F25)</f>
        <v>0</v>
      </c>
      <c r="M25" s="123" t="n">
        <f aca="false">IF(ISERROR(K25/$K$26),"",K25/$K$26)</f>
        <v>0</v>
      </c>
      <c r="N25" s="122" t="n">
        <v>1</v>
      </c>
      <c r="O25" s="125" t="n">
        <f aca="false">IF(ISERROR(N25/$F25),"",N25/$F25)</f>
        <v>0.00186915887850467</v>
      </c>
      <c r="P25" s="122" t="n">
        <v>16</v>
      </c>
      <c r="Q25" s="126" t="n">
        <f aca="false">IF(ISERROR(P25/$F25),"",P25/$F25)</f>
        <v>0.0299065420560748</v>
      </c>
    </row>
    <row collapsed="false" customFormat="false" customHeight="false" hidden="false" ht="14" outlineLevel="0" r="26">
      <c r="B26" s="127"/>
      <c r="C26" s="128" t="s">
        <v>226</v>
      </c>
      <c r="D26" s="129" t="n">
        <f aca="false">SUM(D5:D25)</f>
        <v>230989</v>
      </c>
      <c r="E26" s="130"/>
      <c r="F26" s="129" t="n">
        <f aca="false">SUM(F5:F25)</f>
        <v>14477</v>
      </c>
      <c r="G26" s="129" t="n">
        <f aca="false">SUM(G5:G25)</f>
        <v>105209</v>
      </c>
      <c r="H26" s="130"/>
      <c r="I26" s="130"/>
      <c r="J26" s="130"/>
      <c r="K26" s="129" t="n">
        <f aca="false">SUM(K5:K25)</f>
        <v>572</v>
      </c>
      <c r="L26" s="130"/>
      <c r="M26" s="130"/>
      <c r="N26" s="130" t="n">
        <f aca="false">SUM(N5:N25)</f>
        <v>497</v>
      </c>
      <c r="O26" s="130"/>
      <c r="P26" s="130" t="n">
        <f aca="false">SUM(P5:P25)</f>
        <v>987</v>
      </c>
      <c r="Q26" s="131"/>
    </row>
    <row collapsed="false" customFormat="false" customHeight="false" hidden="false" ht="14" outlineLevel="0" r="27">
      <c r="B27" s="132" t="s">
        <v>227</v>
      </c>
    </row>
  </sheetData>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B1:J63"/>
  <sheetViews>
    <sheetView colorId="64" defaultGridColor="true" rightToLeft="false" showFormulas="false" showGridLines="true" showOutlineSymbols="true" showRowColHeaders="true" showZeros="true" tabSelected="true" topLeftCell="A21" view="normal" windowProtection="false" workbookViewId="0" zoomScale="100" zoomScaleNormal="100" zoomScalePageLayoutView="80">
      <selection activeCell="D37" activeCellId="0" pane="topLeft" sqref="D37"/>
    </sheetView>
  </sheetViews>
  <cols>
    <col collapsed="false" hidden="false" max="1" min="1" style="133" width="1.29019607843137"/>
    <col collapsed="false" hidden="false" max="2" min="2" style="133" width="11.4745098039216"/>
    <col collapsed="false" hidden="false" max="3" min="3" style="133" width="12.478431372549"/>
    <col collapsed="false" hidden="false" max="4" min="4" style="133" width="55.2313725490196"/>
    <col collapsed="false" hidden="false" max="5" min="5" style="133" width="13.4823529411765"/>
    <col collapsed="false" hidden="false" max="6" min="6" style="133" width="12.7647058823529"/>
    <col collapsed="false" hidden="false" max="7" min="7" style="133" width="13.6235294117647"/>
    <col collapsed="false" hidden="false" max="257" min="8" style="133" width="11.4745098039216"/>
  </cols>
  <sheetData>
    <row collapsed="false" customFormat="false" customHeight="true" hidden="false" ht="30" outlineLevel="0" r="1">
      <c r="B1" s="134" t="s">
        <v>0</v>
      </c>
      <c r="C1" s="134"/>
      <c r="D1" s="134"/>
      <c r="E1" s="134"/>
      <c r="F1" s="134"/>
      <c r="G1" s="134"/>
    </row>
    <row collapsed="false" customFormat="false" customHeight="false" hidden="false" ht="15.2" outlineLevel="0" r="2">
      <c r="B2" s="101" t="s">
        <v>228</v>
      </c>
      <c r="C2" s="135"/>
      <c r="D2" s="135"/>
      <c r="E2" s="135"/>
      <c r="F2" s="135"/>
      <c r="G2" s="135"/>
    </row>
    <row collapsed="false" customFormat="false" customHeight="false" hidden="false" ht="22.35" outlineLevel="0" r="3">
      <c r="B3" s="136" t="s">
        <v>229</v>
      </c>
      <c r="C3" s="103" t="s">
        <v>230</v>
      </c>
      <c r="D3" s="103" t="s">
        <v>231</v>
      </c>
      <c r="E3" s="104" t="s">
        <v>232</v>
      </c>
      <c r="F3" s="104" t="s">
        <v>233</v>
      </c>
      <c r="G3" s="106" t="s">
        <v>234</v>
      </c>
    </row>
    <row collapsed="false" customFormat="false" customHeight="false" hidden="false" ht="14.9" outlineLevel="0" r="4">
      <c r="B4" s="137" t="s">
        <v>235</v>
      </c>
      <c r="C4" s="138"/>
      <c r="D4" s="139" t="s">
        <v>236</v>
      </c>
      <c r="E4" s="140" t="n">
        <v>12304</v>
      </c>
      <c r="F4" s="141" t="n">
        <f aca="false">IF(ISERROR(E4/$E$15),"",E4/$E$15)</f>
        <v>0.0532666057691059</v>
      </c>
      <c r="G4" s="142" t="inlineStr">
        <f aca="false">F4</f>
        <is>
          <t/>
        </is>
      </c>
    </row>
    <row collapsed="false" customFormat="false" customHeight="false" hidden="false" ht="14.9" outlineLevel="0" r="5">
      <c r="B5" s="143" t="s">
        <v>237</v>
      </c>
      <c r="C5" s="144"/>
      <c r="D5" s="145" t="s">
        <v>238</v>
      </c>
      <c r="E5" s="146" t="n">
        <v>10255</v>
      </c>
      <c r="F5" s="147" t="n">
        <f aca="false">IF(ISERROR(E5/$E$15),"",E5/$E$15)</f>
        <v>0.0443960534917247</v>
      </c>
      <c r="G5" s="148" t="inlineStr">
        <f aca="false">SUM(G4,F5)</f>
        <is>
          <t/>
        </is>
      </c>
    </row>
    <row collapsed="false" customFormat="false" customHeight="false" hidden="false" ht="28.35" outlineLevel="0" r="6">
      <c r="B6" s="143" t="s">
        <v>239</v>
      </c>
      <c r="C6" s="144"/>
      <c r="D6" s="145" t="s">
        <v>240</v>
      </c>
      <c r="E6" s="146" t="n">
        <v>10061</v>
      </c>
      <c r="F6" s="147" t="n">
        <f aca="false">IF(ISERROR(E6/$E$15),"",E6/$E$15)</f>
        <v>0.0435561866582391</v>
      </c>
      <c r="G6" s="148" t="inlineStr">
        <f aca="false">SUM(G5,F6)</f>
        <is>
          <t/>
        </is>
      </c>
    </row>
    <row collapsed="false" customFormat="false" customHeight="false" hidden="false" ht="28.35" outlineLevel="0" r="7">
      <c r="B7" s="143" t="s">
        <v>241</v>
      </c>
      <c r="C7" s="144"/>
      <c r="D7" s="145" t="s">
        <v>242</v>
      </c>
      <c r="E7" s="146" t="n">
        <v>8773</v>
      </c>
      <c r="F7" s="147" t="n">
        <f aca="false">IF(ISERROR(E7/$E$15),"",E7/$E$15)</f>
        <v>0.037980163557572</v>
      </c>
      <c r="G7" s="148" t="inlineStr">
        <f aca="false">SUM(G6,F7)</f>
        <is>
          <t/>
        </is>
      </c>
    </row>
    <row collapsed="false" customFormat="false" customHeight="false" hidden="false" ht="14.9" outlineLevel="0" r="8">
      <c r="B8" s="143" t="s">
        <v>243</v>
      </c>
      <c r="C8" s="144"/>
      <c r="D8" s="145" t="s">
        <v>244</v>
      </c>
      <c r="E8" s="146" t="n">
        <v>8561</v>
      </c>
      <c r="F8" s="147" t="n">
        <f aca="false">IF(ISERROR(E8/$E$15),"",E8/$E$15)</f>
        <v>0.0370623709354125</v>
      </c>
      <c r="G8" s="148" t="inlineStr">
        <f aca="false">SUM(G7,F8)</f>
        <is>
          <t/>
        </is>
      </c>
    </row>
    <row collapsed="false" customFormat="false" customHeight="false" hidden="false" ht="14.9" outlineLevel="0" r="9">
      <c r="B9" s="143" t="s">
        <v>245</v>
      </c>
      <c r="C9" s="144"/>
      <c r="D9" s="145" t="s">
        <v>246</v>
      </c>
      <c r="E9" s="146" t="n">
        <v>8519</v>
      </c>
      <c r="F9" s="147" t="n">
        <f aca="false">IF(ISERROR(E9/$E$15),"",E9/$E$15)</f>
        <v>0.0368805440951734</v>
      </c>
      <c r="G9" s="148" t="inlineStr">
        <f aca="false">SUM(G8,F9)</f>
        <is>
          <t/>
        </is>
      </c>
    </row>
    <row collapsed="false" customFormat="false" customHeight="false" hidden="false" ht="14.9" outlineLevel="0" r="10">
      <c r="B10" s="143" t="s">
        <v>247</v>
      </c>
      <c r="C10" s="144"/>
      <c r="D10" s="145" t="s">
        <v>248</v>
      </c>
      <c r="E10" s="146" t="n">
        <v>8443</v>
      </c>
      <c r="F10" s="147" t="n">
        <f aca="false">IF(ISERROR(E10/$E$15),"",E10/$E$15)</f>
        <v>0.0365515240985501</v>
      </c>
      <c r="G10" s="148" t="inlineStr">
        <f aca="false">SUM(G9,F10)</f>
        <is>
          <t/>
        </is>
      </c>
    </row>
    <row collapsed="false" customFormat="false" customHeight="false" hidden="false" ht="28.35" outlineLevel="0" r="11">
      <c r="B11" s="143" t="s">
        <v>249</v>
      </c>
      <c r="C11" s="144"/>
      <c r="D11" s="145" t="s">
        <v>250</v>
      </c>
      <c r="E11" s="146" t="n">
        <v>6931</v>
      </c>
      <c r="F11" s="147" t="n">
        <f aca="false">IF(ISERROR(E11/$E$15),"",E11/$E$15)</f>
        <v>0.0300057578499409</v>
      </c>
      <c r="G11" s="148" t="inlineStr">
        <f aca="false">SUM(G10,F11)</f>
        <is>
          <t/>
        </is>
      </c>
    </row>
    <row collapsed="false" customFormat="false" customHeight="false" hidden="false" ht="14.9" outlineLevel="0" r="12">
      <c r="B12" s="143" t="s">
        <v>251</v>
      </c>
      <c r="C12" s="144"/>
      <c r="D12" s="145" t="s">
        <v>252</v>
      </c>
      <c r="E12" s="146" t="n">
        <v>6576</v>
      </c>
      <c r="F12" s="147" t="n">
        <f aca="false">IF(ISERROR(E12/$E$15),"",E12/$E$15)</f>
        <v>0.0284688881288719</v>
      </c>
      <c r="G12" s="148" t="inlineStr">
        <f aca="false">SUM(G11,F12)</f>
        <is>
          <t/>
        </is>
      </c>
    </row>
    <row collapsed="false" customFormat="false" customHeight="false" hidden="false" ht="14.9" outlineLevel="0" r="13">
      <c r="B13" s="143" t="s">
        <v>253</v>
      </c>
      <c r="C13" s="144"/>
      <c r="D13" s="145" t="s">
        <v>254</v>
      </c>
      <c r="E13" s="146" t="n">
        <v>6494</v>
      </c>
      <c r="F13" s="147" t="n">
        <f aca="false">IF(ISERROR(E13/$E$15),"",E13/$E$15)</f>
        <v>0.0281138928693574</v>
      </c>
      <c r="G13" s="148" t="inlineStr">
        <f aca="false">SUM(G12,F13)</f>
        <is>
          <t/>
        </is>
      </c>
    </row>
    <row collapsed="false" customFormat="false" customHeight="true" hidden="false" ht="15.75" outlineLevel="0" r="14">
      <c r="B14" s="149" t="s">
        <v>255</v>
      </c>
      <c r="C14" s="149"/>
      <c r="D14" s="149"/>
      <c r="E14" s="150" t="n">
        <v>144072</v>
      </c>
      <c r="F14" s="151" t="n">
        <f aca="false">IF(ISERROR(E14/$E$15),"",E14/$E$15)</f>
        <v>0.623718012546052</v>
      </c>
      <c r="G14" s="152" t="inlineStr">
        <f aca="false">SUM(G13,F14)</f>
        <is>
          <t/>
        </is>
      </c>
    </row>
    <row collapsed="false" customFormat="false" customHeight="true" hidden="false" ht="15.75" outlineLevel="0" r="15">
      <c r="B15" s="153" t="s">
        <v>256</v>
      </c>
      <c r="C15" s="153"/>
      <c r="D15" s="153"/>
      <c r="E15" s="154" t="n">
        <f aca="false">SUM(E4:E14)</f>
        <v>230989</v>
      </c>
      <c r="F15" s="155" t="inlineStr">
        <f aca="false">SUM(F4:F14)</f>
        <is>
          <t/>
        </is>
      </c>
      <c r="G15" s="156"/>
    </row>
    <row collapsed="false" customFormat="false" customHeight="false" hidden="false" ht="15.2" outlineLevel="0" r="17">
      <c r="B17" s="101" t="s">
        <v>257</v>
      </c>
      <c r="C17" s="135"/>
      <c r="D17" s="135"/>
      <c r="E17" s="135"/>
      <c r="F17" s="135"/>
      <c r="G17" s="135"/>
      <c r="H17" s="135"/>
      <c r="I17" s="135"/>
      <c r="J17" s="135"/>
    </row>
    <row collapsed="false" customFormat="false" customHeight="false" hidden="false" ht="23.85" outlineLevel="0" r="18">
      <c r="B18" s="136" t="s">
        <v>229</v>
      </c>
      <c r="C18" s="103" t="s">
        <v>230</v>
      </c>
      <c r="D18" s="103" t="s">
        <v>231</v>
      </c>
      <c r="E18" s="103" t="s">
        <v>172</v>
      </c>
      <c r="F18" s="103" t="s">
        <v>258</v>
      </c>
      <c r="G18" s="103" t="s">
        <v>174</v>
      </c>
      <c r="H18" s="103" t="s">
        <v>175</v>
      </c>
      <c r="I18" s="157" t="s">
        <v>259</v>
      </c>
      <c r="J18" s="158" t="s">
        <v>176</v>
      </c>
    </row>
    <row collapsed="false" customFormat="false" customHeight="false" hidden="false" ht="14.9" outlineLevel="0" r="19">
      <c r="B19" s="159" t="s">
        <v>235</v>
      </c>
      <c r="C19" s="160"/>
      <c r="D19" s="161" t="s">
        <v>260</v>
      </c>
      <c r="E19" s="162" t="n">
        <v>1314</v>
      </c>
      <c r="F19" s="162" t="n">
        <v>4669</v>
      </c>
      <c r="G19" s="163" t="n">
        <f aca="false">IF(ISERROR(F19/E19),"",F19/E19)</f>
        <v>3.55327245053272</v>
      </c>
      <c r="H19" s="164" t="n">
        <f aca="false">IF(ISERROR(E19/$E$30),"",E19/$E$30)</f>
        <v>0.09076466118671</v>
      </c>
      <c r="I19" s="164" t="inlineStr">
        <f aca="false">H19</f>
        <is>
          <t/>
        </is>
      </c>
      <c r="J19" s="165" t="n">
        <f aca="false">IF(ISERROR(F19/$F$30),"",F19/$F$30)</f>
        <v>0.0443783326521495</v>
      </c>
    </row>
    <row collapsed="false" customFormat="false" customHeight="false" hidden="false" ht="14.9" outlineLevel="0" r="20">
      <c r="B20" s="143" t="s">
        <v>237</v>
      </c>
      <c r="C20" s="144"/>
      <c r="D20" s="161" t="s">
        <v>261</v>
      </c>
      <c r="E20" s="162" t="n">
        <v>771</v>
      </c>
      <c r="F20" s="162" t="n">
        <v>6205</v>
      </c>
      <c r="G20" s="166" t="n">
        <f aca="false">IF(ISERROR(F20/E20),"",F20/E20)</f>
        <v>8.04798962386511</v>
      </c>
      <c r="H20" s="167" t="n">
        <f aca="false">IF(ISERROR(E20/$E$30),"",E20/$E$30)</f>
        <v>0.0532568902396906</v>
      </c>
      <c r="I20" s="167" t="inlineStr">
        <f aca="false">SUM(I19,H20)</f>
        <is>
          <t/>
        </is>
      </c>
      <c r="J20" s="168" t="n">
        <f aca="false">IF(ISERROR(F20/$F$30),"",F20/$F$30)</f>
        <v>0.0589778441007899</v>
      </c>
    </row>
    <row collapsed="false" customFormat="false" customHeight="false" hidden="false" ht="14.9" outlineLevel="0" r="21">
      <c r="B21" s="143" t="s">
        <v>239</v>
      </c>
      <c r="C21" s="144"/>
      <c r="D21" s="161" t="s">
        <v>262</v>
      </c>
      <c r="E21" s="162" t="n">
        <v>547</v>
      </c>
      <c r="F21" s="162" t="n">
        <v>1684</v>
      </c>
      <c r="G21" s="166" t="n">
        <f aca="false">IF(ISERROR(F21/E21),"",F21/E21)</f>
        <v>3.07861060329068</v>
      </c>
      <c r="H21" s="167" t="n">
        <f aca="false">IF(ISERROR(E21/$E$30),"",E21/$E$30)</f>
        <v>0.0377840712854873</v>
      </c>
      <c r="I21" s="167" t="inlineStr">
        <f aca="false">SUM(I20,H21)</f>
        <is>
          <t/>
        </is>
      </c>
      <c r="J21" s="168" t="n">
        <f aca="false">IF(ISERROR(F21/$F$30),"",F21/$F$30)</f>
        <v>0.0160062352080145</v>
      </c>
    </row>
    <row collapsed="false" customFormat="false" customHeight="false" hidden="false" ht="14.9" outlineLevel="0" r="22">
      <c r="B22" s="143" t="s">
        <v>241</v>
      </c>
      <c r="C22" s="144"/>
      <c r="D22" s="161" t="s">
        <v>263</v>
      </c>
      <c r="E22" s="162" t="n">
        <v>523</v>
      </c>
      <c r="F22" s="162" t="n">
        <v>1123</v>
      </c>
      <c r="G22" s="166" t="n">
        <f aca="false">IF(ISERROR(F22/E22),"",F22/E22)</f>
        <v>2.1472275334608</v>
      </c>
      <c r="H22" s="167" t="n">
        <f aca="false">IF(ISERROR(E22/$E$30),"",E22/$E$30)</f>
        <v>0.0361262692546798</v>
      </c>
      <c r="I22" s="167" t="inlineStr">
        <f aca="false">SUM(I21,H22)</f>
        <is>
          <t/>
        </is>
      </c>
      <c r="J22" s="168" t="n">
        <f aca="false">IF(ISERROR(F22/$F$30),"",F22/$F$30)</f>
        <v>0.010673991768765</v>
      </c>
    </row>
    <row collapsed="false" customFormat="false" customHeight="false" hidden="false" ht="14.9" outlineLevel="0" r="23">
      <c r="B23" s="143" t="s">
        <v>243</v>
      </c>
      <c r="C23" s="144"/>
      <c r="D23" s="161" t="s">
        <v>264</v>
      </c>
      <c r="E23" s="162" t="n">
        <v>521</v>
      </c>
      <c r="F23" s="162" t="n">
        <v>2425</v>
      </c>
      <c r="G23" s="166" t="n">
        <f aca="false">IF(ISERROR(F23/E23),"",F23/E23)</f>
        <v>4.65451055662188</v>
      </c>
      <c r="H23" s="167" t="n">
        <f aca="false">IF(ISERROR(E23/$E$30),"",E23/$E$30)</f>
        <v>0.0359881190854459</v>
      </c>
      <c r="I23" s="167" t="inlineStr">
        <f aca="false">SUM(I22,H23)</f>
        <is>
          <t/>
        </is>
      </c>
      <c r="J23" s="168" t="n">
        <f aca="false">IF(ISERROR(F23/$F$30),"",F23/$F$30)</f>
        <v>0.0230493588951516</v>
      </c>
    </row>
    <row collapsed="false" customFormat="false" customHeight="false" hidden="false" ht="14.9" outlineLevel="0" r="24">
      <c r="B24" s="143" t="s">
        <v>245</v>
      </c>
      <c r="C24" s="144"/>
      <c r="D24" s="161" t="s">
        <v>265</v>
      </c>
      <c r="E24" s="162" t="n">
        <v>480</v>
      </c>
      <c r="F24" s="162" t="n">
        <v>763</v>
      </c>
      <c r="G24" s="166" t="n">
        <f aca="false">IF(ISERROR(F24/E24),"",F24/E24)</f>
        <v>1.58958333333333</v>
      </c>
      <c r="H24" s="167" t="n">
        <f aca="false">IF(ISERROR(E24/$E$30),"",E24/$E$30)</f>
        <v>0.0331560406161498</v>
      </c>
      <c r="I24" s="167" t="inlineStr">
        <f aca="false">SUM(I23,H24)</f>
        <is>
          <t/>
        </is>
      </c>
      <c r="J24" s="168" t="n">
        <f aca="false">IF(ISERROR(F24/$F$30),"",F24/$F$30)</f>
        <v>0.00725223127298995</v>
      </c>
    </row>
    <row collapsed="false" customFormat="false" customHeight="false" hidden="false" ht="28.35" outlineLevel="0" r="25">
      <c r="B25" s="143" t="s">
        <v>247</v>
      </c>
      <c r="C25" s="144"/>
      <c r="D25" s="161" t="s">
        <v>266</v>
      </c>
      <c r="E25" s="162" t="n">
        <v>459</v>
      </c>
      <c r="F25" s="162" t="n">
        <v>3038</v>
      </c>
      <c r="G25" s="166" t="n">
        <f aca="false">IF(ISERROR(F25/E25),"",F25/E25)</f>
        <v>6.61873638344227</v>
      </c>
      <c r="H25" s="167" t="n">
        <f aca="false">IF(ISERROR(E25/$E$30),"",E25/$E$30)</f>
        <v>0.0317054638391932</v>
      </c>
      <c r="I25" s="167" t="inlineStr">
        <f aca="false">SUM(I24,H25)</f>
        <is>
          <t/>
        </is>
      </c>
      <c r="J25" s="168" t="n">
        <f aca="false">IF(ISERROR(F25/$F$30),"",F25/$F$30)</f>
        <v>0.0288758566282352</v>
      </c>
    </row>
    <row collapsed="false" customFormat="false" customHeight="false" hidden="false" ht="14.9" outlineLevel="0" r="26">
      <c r="B26" s="143" t="s">
        <v>249</v>
      </c>
      <c r="C26" s="144"/>
      <c r="D26" s="161" t="s">
        <v>267</v>
      </c>
      <c r="E26" s="162" t="n">
        <v>445</v>
      </c>
      <c r="F26" s="162" t="n">
        <v>3186</v>
      </c>
      <c r="G26" s="166" t="n">
        <f aca="false">IF(ISERROR(F26/E26),"",F26/E26)</f>
        <v>7.15955056179775</v>
      </c>
      <c r="H26" s="167" t="n">
        <f aca="false">IF(ISERROR(E26/$E$30),"",E26/$E$30)</f>
        <v>0.0307384126545555</v>
      </c>
      <c r="I26" s="167" t="inlineStr">
        <f aca="false">SUM(I25,H26)</f>
        <is>
          <t/>
        </is>
      </c>
      <c r="J26" s="168" t="n">
        <f aca="false">IF(ISERROR(F26/$F$30),"",F26/$F$30)</f>
        <v>0.0302825803876094</v>
      </c>
    </row>
    <row collapsed="false" customFormat="false" customHeight="false" hidden="false" ht="28.35" outlineLevel="0" r="27">
      <c r="B27" s="143" t="s">
        <v>251</v>
      </c>
      <c r="C27" s="144"/>
      <c r="D27" s="161" t="s">
        <v>268</v>
      </c>
      <c r="E27" s="162" t="n">
        <v>378</v>
      </c>
      <c r="F27" s="162" t="n">
        <v>1964</v>
      </c>
      <c r="G27" s="166" t="n">
        <f aca="false">IF(ISERROR(F27/E27),"",F27/E27)</f>
        <v>5.1957671957672</v>
      </c>
      <c r="H27" s="167" t="n">
        <f aca="false">IF(ISERROR(E27/$E$30),"",E27/$E$30)</f>
        <v>0.0261103819852179</v>
      </c>
      <c r="I27" s="167" t="inlineStr">
        <f aca="false">SUM(I26,H27)</f>
        <is>
          <t/>
        </is>
      </c>
      <c r="J27" s="168" t="n">
        <f aca="false">IF(ISERROR(F27/$F$30),"",F27/$F$30)</f>
        <v>0.0186676044825063</v>
      </c>
    </row>
    <row collapsed="false" customFormat="false" customHeight="false" hidden="false" ht="14.9" outlineLevel="0" r="28">
      <c r="B28" s="143" t="s">
        <v>253</v>
      </c>
      <c r="C28" s="144"/>
      <c r="D28" s="161" t="s">
        <v>269</v>
      </c>
      <c r="E28" s="162" t="n">
        <v>357</v>
      </c>
      <c r="F28" s="162" t="n">
        <v>6910</v>
      </c>
      <c r="G28" s="166" t="n">
        <f aca="false">IF(ISERROR(F28/E28),"",F28/E28)</f>
        <v>19.3557422969188</v>
      </c>
      <c r="H28" s="167" t="n">
        <f aca="false">IF(ISERROR(E28/$E$30),"",E28/$E$30)</f>
        <v>0.0246598052082614</v>
      </c>
      <c r="I28" s="167" t="inlineStr">
        <f aca="false">SUM(I27,H28)</f>
        <is>
          <t/>
        </is>
      </c>
      <c r="J28" s="168" t="n">
        <f aca="false">IF(ISERROR(F28/$F$30),"",F28/$F$30)</f>
        <v>0.0656787917383494</v>
      </c>
    </row>
    <row collapsed="false" customFormat="false" customHeight="true" hidden="false" ht="15.75" outlineLevel="0" r="29">
      <c r="B29" s="149" t="s">
        <v>255</v>
      </c>
      <c r="C29" s="149"/>
      <c r="D29" s="149"/>
      <c r="E29" s="169" t="n">
        <v>8682</v>
      </c>
      <c r="F29" s="169" t="n">
        <v>73242</v>
      </c>
      <c r="G29" s="170" t="n">
        <f aca="false">IF(ISERROR(F29/E29),"",F29/E29)</f>
        <v>8.43607463718037</v>
      </c>
      <c r="H29" s="171" t="n">
        <f aca="false">IF(ISERROR(E29/$E$30),"",E29/$E$30)</f>
        <v>0.599709884644609</v>
      </c>
      <c r="I29" s="171" t="inlineStr">
        <f aca="false">SUM(I28,H29)</f>
        <is>
          <t/>
        </is>
      </c>
      <c r="J29" s="172" t="n">
        <f aca="false">IF(ISERROR(F29/$F$30),"",F29/$F$30)</f>
        <v>0.696157172865439</v>
      </c>
    </row>
    <row collapsed="false" customFormat="false" customHeight="true" hidden="false" ht="15.75" outlineLevel="0" r="30">
      <c r="B30" s="136" t="s">
        <v>270</v>
      </c>
      <c r="C30" s="136"/>
      <c r="D30" s="136"/>
      <c r="E30" s="173" t="n">
        <f aca="false">SUM(E19:E29)</f>
        <v>14477</v>
      </c>
      <c r="F30" s="173" t="n">
        <f aca="false">SUM(F19:F29)</f>
        <v>105209</v>
      </c>
      <c r="G30" s="174" t="n">
        <f aca="false">IF(ISERROR(F30/E30),"",F30/E30)</f>
        <v>7.26732057746771</v>
      </c>
      <c r="H30" s="175" t="inlineStr">
        <f aca="false">SUM(H19:H29)</f>
        <is>
          <t/>
        </is>
      </c>
      <c r="I30" s="176"/>
      <c r="J30" s="177"/>
    </row>
    <row collapsed="false" customFormat="true" customHeight="false" hidden="false" ht="15.2" outlineLevel="0" r="32" s="135">
      <c r="B32" s="101" t="s">
        <v>271</v>
      </c>
    </row>
    <row collapsed="false" customFormat="false" customHeight="false" hidden="false" ht="23.85" outlineLevel="0" r="33">
      <c r="B33" s="136" t="s">
        <v>229</v>
      </c>
      <c r="C33" s="103" t="s">
        <v>230</v>
      </c>
      <c r="D33" s="103" t="s">
        <v>231</v>
      </c>
      <c r="E33" s="103" t="s">
        <v>172</v>
      </c>
      <c r="F33" s="103" t="s">
        <v>258</v>
      </c>
      <c r="G33" s="103" t="s">
        <v>174</v>
      </c>
      <c r="H33" s="103" t="s">
        <v>175</v>
      </c>
      <c r="I33" s="103" t="s">
        <v>176</v>
      </c>
      <c r="J33" s="178" t="s">
        <v>272</v>
      </c>
    </row>
    <row collapsed="false" customFormat="false" customHeight="false" hidden="false" ht="14.9" outlineLevel="0" r="34">
      <c r="B34" s="159" t="s">
        <v>235</v>
      </c>
      <c r="C34" s="160"/>
      <c r="D34" s="161" t="s">
        <v>269</v>
      </c>
      <c r="E34" s="162" t="n">
        <v>357</v>
      </c>
      <c r="F34" s="162" t="n">
        <v>6910</v>
      </c>
      <c r="G34" s="163" t="n">
        <f aca="false">IF(ISERROR(F34/E34),"",F34/E34)</f>
        <v>19.3557422969188</v>
      </c>
      <c r="H34" s="164" t="n">
        <f aca="false">IF(ISERROR(E34/$E$45),"",E34/$E$45)</f>
        <v>0.0246598052082614</v>
      </c>
      <c r="I34" s="164" t="n">
        <f aca="false">IF(ISERROR(F34/$F$45),"",F34/$F$45)</f>
        <v>0.0656787917383494</v>
      </c>
      <c r="J34" s="165" t="inlineStr">
        <f aca="false">I34</f>
        <is>
          <t/>
        </is>
      </c>
    </row>
    <row collapsed="false" customFormat="false" customHeight="false" hidden="false" ht="14.9" outlineLevel="0" r="35">
      <c r="B35" s="143" t="s">
        <v>237</v>
      </c>
      <c r="C35" s="144"/>
      <c r="D35" s="161" t="s">
        <v>261</v>
      </c>
      <c r="E35" s="162" t="n">
        <v>771</v>
      </c>
      <c r="F35" s="162" t="n">
        <v>6205</v>
      </c>
      <c r="G35" s="166" t="n">
        <f aca="false">IF(ISERROR(F35/E35),"",F35/E35)</f>
        <v>8.04798962386511</v>
      </c>
      <c r="H35" s="167" t="n">
        <f aca="false">IF(ISERROR(E35/$E$45),"",E35/$E$45)</f>
        <v>0.0532568902396906</v>
      </c>
      <c r="I35" s="167" t="n">
        <f aca="false">IF(ISERROR(F35/$F$45),"",F35/$F$45)</f>
        <v>0.0589778441007899</v>
      </c>
      <c r="J35" s="168" t="inlineStr">
        <f aca="false">SUM(J34,I35)</f>
        <is>
          <t/>
        </is>
      </c>
    </row>
    <row collapsed="false" customFormat="false" customHeight="false" hidden="false" ht="14.9" outlineLevel="0" r="36">
      <c r="B36" s="143" t="s">
        <v>239</v>
      </c>
      <c r="C36" s="144"/>
      <c r="D36" s="161" t="s">
        <v>260</v>
      </c>
      <c r="E36" s="162" t="n">
        <v>1314</v>
      </c>
      <c r="F36" s="162" t="n">
        <v>4669</v>
      </c>
      <c r="G36" s="166" t="n">
        <f aca="false">IF(ISERROR(F36/E36),"",F36/E36)</f>
        <v>3.55327245053272</v>
      </c>
      <c r="H36" s="167" t="n">
        <f aca="false">IF(ISERROR(E36/$E$45),"",E36/$E$45)</f>
        <v>0.09076466118671</v>
      </c>
      <c r="I36" s="167" t="n">
        <f aca="false">IF(ISERROR(F36/$F$45),"",F36/$F$45)</f>
        <v>0.0443783326521495</v>
      </c>
      <c r="J36" s="168" t="inlineStr">
        <f aca="false">SUM(J35,I36)</f>
        <is>
          <t/>
        </is>
      </c>
    </row>
    <row collapsed="false" customFormat="false" customHeight="false" hidden="false" ht="14.9" outlineLevel="0" r="37">
      <c r="B37" s="143" t="s">
        <v>241</v>
      </c>
      <c r="C37" s="144"/>
      <c r="D37" s="161" t="s">
        <v>267</v>
      </c>
      <c r="E37" s="162" t="n">
        <v>445</v>
      </c>
      <c r="F37" s="162" t="n">
        <v>3186</v>
      </c>
      <c r="G37" s="166" t="n">
        <f aca="false">IF(ISERROR(F37/E37),"",F37/E37)</f>
        <v>7.15955056179775</v>
      </c>
      <c r="H37" s="167" t="n">
        <f aca="false">IF(ISERROR(E37/$E$45),"",E37/$E$45)</f>
        <v>0.0307384126545555</v>
      </c>
      <c r="I37" s="167" t="n">
        <f aca="false">IF(ISERROR(F37/$F$45),"",F37/$F$45)</f>
        <v>0.0302825803876094</v>
      </c>
      <c r="J37" s="168" t="inlineStr">
        <f aca="false">SUM(J36,I37)</f>
        <is>
          <t/>
        </is>
      </c>
    </row>
    <row collapsed="false" customFormat="false" customHeight="false" hidden="false" ht="28.35" outlineLevel="0" r="38">
      <c r="B38" s="143" t="s">
        <v>243</v>
      </c>
      <c r="C38" s="144"/>
      <c r="D38" s="161" t="s">
        <v>266</v>
      </c>
      <c r="E38" s="162" t="n">
        <v>459</v>
      </c>
      <c r="F38" s="162" t="n">
        <v>3038</v>
      </c>
      <c r="G38" s="166" t="n">
        <f aca="false">IF(ISERROR(F38/E38),"",F38/E38)</f>
        <v>6.61873638344227</v>
      </c>
      <c r="H38" s="167" t="n">
        <f aca="false">IF(ISERROR(E38/$E$45),"",E38/$E$45)</f>
        <v>0.0317054638391932</v>
      </c>
      <c r="I38" s="167" t="n">
        <f aca="false">IF(ISERROR(F38/$F$45),"",F38/$F$45)</f>
        <v>0.0288758566282352</v>
      </c>
      <c r="J38" s="168" t="inlineStr">
        <f aca="false">SUM(J37,I38)</f>
        <is>
          <t/>
        </is>
      </c>
    </row>
    <row collapsed="false" customFormat="false" customHeight="false" hidden="false" ht="14.9" outlineLevel="0" r="39">
      <c r="B39" s="143" t="s">
        <v>245</v>
      </c>
      <c r="C39" s="144"/>
      <c r="D39" s="161" t="s">
        <v>264</v>
      </c>
      <c r="E39" s="162" t="n">
        <v>521</v>
      </c>
      <c r="F39" s="162" t="n">
        <v>2425</v>
      </c>
      <c r="G39" s="166" t="n">
        <f aca="false">IF(ISERROR(F39/E39),"",F39/E39)</f>
        <v>4.65451055662188</v>
      </c>
      <c r="H39" s="167" t="n">
        <f aca="false">IF(ISERROR(E39/$E$45),"",E39/$E$45)</f>
        <v>0.0359881190854459</v>
      </c>
      <c r="I39" s="167" t="n">
        <f aca="false">IF(ISERROR(F39/$F$45),"",F39/$F$45)</f>
        <v>0.0230493588951516</v>
      </c>
      <c r="J39" s="168" t="inlineStr">
        <f aca="false">SUM(J38,I39)</f>
        <is>
          <t/>
        </is>
      </c>
    </row>
    <row collapsed="false" customFormat="false" customHeight="false" hidden="false" ht="28.35" outlineLevel="0" r="40">
      <c r="B40" s="143" t="s">
        <v>247</v>
      </c>
      <c r="C40" s="144"/>
      <c r="D40" s="161" t="s">
        <v>268</v>
      </c>
      <c r="E40" s="162" t="n">
        <v>378</v>
      </c>
      <c r="F40" s="162" t="n">
        <v>1964</v>
      </c>
      <c r="G40" s="166" t="n">
        <f aca="false">IF(ISERROR(F40/E40),"",F40/E40)</f>
        <v>5.1957671957672</v>
      </c>
      <c r="H40" s="167" t="n">
        <f aca="false">IF(ISERROR(E40/$E$45),"",E40/$E$45)</f>
        <v>0.0261103819852179</v>
      </c>
      <c r="I40" s="167" t="n">
        <f aca="false">IF(ISERROR(F40/$F$45),"",F40/$F$45)</f>
        <v>0.0186676044825063</v>
      </c>
      <c r="J40" s="168" t="inlineStr">
        <f aca="false">SUM(J39,I40)</f>
        <is>
          <t/>
        </is>
      </c>
    </row>
    <row collapsed="false" customFormat="false" customHeight="false" hidden="false" ht="14.9" outlineLevel="0" r="41">
      <c r="B41" s="143" t="s">
        <v>249</v>
      </c>
      <c r="C41" s="144"/>
      <c r="D41" s="161" t="s">
        <v>262</v>
      </c>
      <c r="E41" s="162" t="n">
        <v>547</v>
      </c>
      <c r="F41" s="162" t="n">
        <v>1684</v>
      </c>
      <c r="G41" s="166" t="n">
        <f aca="false">IF(ISERROR(F41/E41),"",F41/E41)</f>
        <v>3.07861060329068</v>
      </c>
      <c r="H41" s="167" t="n">
        <f aca="false">IF(ISERROR(E41/$E$45),"",E41/$E$45)</f>
        <v>0.0377840712854873</v>
      </c>
      <c r="I41" s="167" t="n">
        <f aca="false">IF(ISERROR(F41/$F$45),"",F41/$F$45)</f>
        <v>0.0160062352080145</v>
      </c>
      <c r="J41" s="168" t="inlineStr">
        <f aca="false">SUM(J40,I41)</f>
        <is>
          <t/>
        </is>
      </c>
    </row>
    <row collapsed="false" customFormat="false" customHeight="false" hidden="false" ht="14.9" outlineLevel="0" r="42">
      <c r="B42" s="143" t="s">
        <v>251</v>
      </c>
      <c r="C42" s="144"/>
      <c r="D42" s="161" t="s">
        <v>263</v>
      </c>
      <c r="E42" s="162" t="n">
        <v>523</v>
      </c>
      <c r="F42" s="162" t="n">
        <v>1123</v>
      </c>
      <c r="G42" s="166" t="n">
        <f aca="false">IF(ISERROR(F42/E42),"",F42/E42)</f>
        <v>2.1472275334608</v>
      </c>
      <c r="H42" s="167" t="n">
        <f aca="false">IF(ISERROR(E42/$E$45),"",E42/$E$45)</f>
        <v>0.0361262692546798</v>
      </c>
      <c r="I42" s="167" t="n">
        <f aca="false">IF(ISERROR(F42/$F$45),"",F42/$F$45)</f>
        <v>0.010673991768765</v>
      </c>
      <c r="J42" s="168" t="inlineStr">
        <f aca="false">SUM(J41,I42)</f>
        <is>
          <t/>
        </is>
      </c>
    </row>
    <row collapsed="false" customFormat="false" customHeight="false" hidden="false" ht="14.9" outlineLevel="0" r="43">
      <c r="B43" s="143" t="s">
        <v>253</v>
      </c>
      <c r="C43" s="144"/>
      <c r="D43" s="161" t="s">
        <v>265</v>
      </c>
      <c r="E43" s="162" t="n">
        <v>480</v>
      </c>
      <c r="F43" s="162" t="n">
        <v>763</v>
      </c>
      <c r="G43" s="166" t="n">
        <f aca="false">IF(ISERROR(F43/E43),"",F43/E43)</f>
        <v>1.58958333333333</v>
      </c>
      <c r="H43" s="167" t="n">
        <f aca="false">IF(ISERROR(E43/$E$45),"",E43/$E$45)</f>
        <v>0.0331560406161498</v>
      </c>
      <c r="I43" s="167" t="n">
        <f aca="false">IF(ISERROR(F43/$F$45),"",F43/$F$45)</f>
        <v>0.00725223127298995</v>
      </c>
      <c r="J43" s="168" t="inlineStr">
        <f aca="false">SUM(J42,I43)</f>
        <is>
          <t/>
        </is>
      </c>
    </row>
    <row collapsed="false" customFormat="false" customHeight="true" hidden="false" ht="15.75" outlineLevel="0" r="44">
      <c r="B44" s="149" t="s">
        <v>255</v>
      </c>
      <c r="C44" s="149"/>
      <c r="D44" s="149"/>
      <c r="E44" s="169" t="n">
        <v>8682</v>
      </c>
      <c r="F44" s="169" t="n">
        <v>73242</v>
      </c>
      <c r="G44" s="170" t="n">
        <f aca="false">IF(ISERROR(F44/E44),"",F44/E44)</f>
        <v>8.43607463718037</v>
      </c>
      <c r="H44" s="171" t="n">
        <f aca="false">IF(ISERROR(E44/$E$45),"",E44/$E$45)</f>
        <v>0.599709884644609</v>
      </c>
      <c r="I44" s="171" t="n">
        <f aca="false">IF(ISERROR(F44/$F$45),"",F44/$F$45)</f>
        <v>0.696157172865439</v>
      </c>
      <c r="J44" s="172" t="inlineStr">
        <f aca="false">SUM(J43,I44)</f>
        <is>
          <t/>
        </is>
      </c>
    </row>
    <row collapsed="false" customFormat="false" customHeight="true" hidden="false" ht="15.75" outlineLevel="0" r="45">
      <c r="B45" s="136" t="s">
        <v>270</v>
      </c>
      <c r="C45" s="136"/>
      <c r="D45" s="136"/>
      <c r="E45" s="173" t="n">
        <f aca="false">SUM(E34:E44)</f>
        <v>14477</v>
      </c>
      <c r="F45" s="173" t="n">
        <f aca="false">SUM(F34:F44)</f>
        <v>105209</v>
      </c>
      <c r="G45" s="174" t="n">
        <f aca="false">SUM(G34:G44)</f>
        <v>69.8370651762109</v>
      </c>
      <c r="H45" s="176"/>
      <c r="I45" s="176"/>
      <c r="J45" s="177"/>
    </row>
    <row collapsed="false" customFormat="false" customHeight="false" hidden="false" ht="15.2" outlineLevel="0" r="47">
      <c r="B47" s="101" t="s">
        <v>273</v>
      </c>
      <c r="C47" s="135"/>
      <c r="D47" s="135"/>
      <c r="E47" s="135"/>
      <c r="F47" s="135"/>
      <c r="G47" s="135"/>
    </row>
    <row collapsed="false" customFormat="false" customHeight="false" hidden="false" ht="22.35" outlineLevel="0" r="48">
      <c r="B48" s="179" t="s">
        <v>229</v>
      </c>
      <c r="C48" s="180" t="s">
        <v>274</v>
      </c>
      <c r="D48" s="180" t="s">
        <v>275</v>
      </c>
      <c r="E48" s="181" t="s">
        <v>276</v>
      </c>
      <c r="F48" s="181" t="s">
        <v>277</v>
      </c>
      <c r="G48" s="182" t="s">
        <v>278</v>
      </c>
    </row>
    <row collapsed="false" customFormat="false" customHeight="false" hidden="false" ht="14.9" outlineLevel="0" r="49">
      <c r="B49" s="143" t="s">
        <v>235</v>
      </c>
      <c r="C49" s="183" t="s">
        <v>279</v>
      </c>
      <c r="D49" s="184" t="s">
        <v>280</v>
      </c>
      <c r="E49" s="162" t="n">
        <v>1347</v>
      </c>
      <c r="F49" s="166" t="n">
        <f aca="false">IF(ISERROR(E49/$E$60),"",E49/$E$60)</f>
        <v>0.231722002408395</v>
      </c>
      <c r="G49" s="167" t="n">
        <f aca="false">F49</f>
        <v>0.231722002408395</v>
      </c>
    </row>
    <row collapsed="false" customFormat="false" customHeight="false" hidden="false" ht="14.9" outlineLevel="0" r="50">
      <c r="B50" s="143" t="s">
        <v>237</v>
      </c>
      <c r="C50" s="183" t="n">
        <v>28.3</v>
      </c>
      <c r="D50" s="184" t="s">
        <v>281</v>
      </c>
      <c r="E50" s="162" t="n">
        <v>439</v>
      </c>
      <c r="F50" s="166" t="n">
        <f aca="false">IF(ISERROR(E50/$E$60),"",E50/$E$60)</f>
        <v>0.0755203853431963</v>
      </c>
      <c r="G50" s="167" t="inlineStr">
        <f aca="false">IF(ISERROR(G49+F50),"",G49+F50)</f>
        <is>
          <t/>
        </is>
      </c>
    </row>
    <row collapsed="false" customFormat="false" customHeight="false" hidden="false" ht="14.9" outlineLevel="0" r="51">
      <c r="B51" s="143" t="s">
        <v>239</v>
      </c>
      <c r="C51" s="183" t="n">
        <v>54.11</v>
      </c>
      <c r="D51" s="184" t="s">
        <v>282</v>
      </c>
      <c r="E51" s="183" t="n">
        <v>307</v>
      </c>
      <c r="F51" s="166" t="n">
        <f aca="false">IF(ISERROR(E51/$E$60),"",E51/$E$60)</f>
        <v>0.0528126612764493</v>
      </c>
      <c r="G51" s="167" t="inlineStr">
        <f aca="false">IF(ISERROR(G50+F51),"",G50+F51)</f>
        <is>
          <t/>
        </is>
      </c>
    </row>
    <row collapsed="false" customFormat="false" customHeight="false" hidden="false" ht="14.9" outlineLevel="0" r="52">
      <c r="B52" s="143" t="s">
        <v>241</v>
      </c>
      <c r="C52" s="183" t="n">
        <v>86.22</v>
      </c>
      <c r="D52" s="184" t="s">
        <v>283</v>
      </c>
      <c r="E52" s="183" t="n">
        <v>265</v>
      </c>
      <c r="F52" s="166" t="n">
        <f aca="false">IF(ISERROR(E52/$E$60),"",E52/$E$60)</f>
        <v>0.0455874763461208</v>
      </c>
      <c r="G52" s="167" t="inlineStr">
        <f aca="false">IF(ISERROR(G51+F52),"",G51+F52)</f>
        <is>
          <t/>
        </is>
      </c>
    </row>
    <row collapsed="false" customFormat="false" customHeight="false" hidden="false" ht="14.9" outlineLevel="0" r="53">
      <c r="B53" s="143" t="s">
        <v>243</v>
      </c>
      <c r="C53" s="183" t="n">
        <v>15.12</v>
      </c>
      <c r="D53" s="184" t="s">
        <v>284</v>
      </c>
      <c r="E53" s="183" t="n">
        <v>215</v>
      </c>
      <c r="F53" s="166" t="n">
        <f aca="false">IF(ISERROR(E53/$E$60),"",E53/$E$60)</f>
        <v>0.0369860657147772</v>
      </c>
      <c r="G53" s="167" t="inlineStr">
        <f aca="false">IF(ISERROR(G52+F53),"",G52+F53)</f>
        <is>
          <t/>
        </is>
      </c>
    </row>
    <row collapsed="false" customFormat="false" customHeight="false" hidden="false" ht="14.9" outlineLevel="0" r="54">
      <c r="B54" s="143" t="s">
        <v>245</v>
      </c>
      <c r="C54" s="183" t="s">
        <v>285</v>
      </c>
      <c r="D54" s="184" t="s">
        <v>286</v>
      </c>
      <c r="E54" s="183" t="n">
        <v>166</v>
      </c>
      <c r="F54" s="166" t="n">
        <f aca="false">IF(ISERROR(E54/$E$60),"",E54/$E$60)</f>
        <v>0.0285566832960606</v>
      </c>
      <c r="G54" s="167" t="inlineStr">
        <f aca="false">IF(ISERROR(G53+F54),"",G53+F54)</f>
        <is>
          <t/>
        </is>
      </c>
    </row>
    <row collapsed="false" customFormat="false" customHeight="false" hidden="false" ht="14.9" outlineLevel="0" r="55">
      <c r="B55" s="143" t="s">
        <v>247</v>
      </c>
      <c r="C55" s="183" t="n">
        <v>86.69</v>
      </c>
      <c r="D55" s="184" t="s">
        <v>287</v>
      </c>
      <c r="E55" s="183" t="n">
        <v>138</v>
      </c>
      <c r="F55" s="166" t="n">
        <f aca="false">IF(ISERROR(E55/$E$60),"",E55/$E$60)</f>
        <v>0.0237398933425082</v>
      </c>
      <c r="G55" s="167" t="inlineStr">
        <f aca="false">IF(ISERROR(G54+F55),"",G54+F55)</f>
        <is>
          <t/>
        </is>
      </c>
    </row>
    <row collapsed="false" customFormat="false" customHeight="false" hidden="false" ht="14.9" outlineLevel="0" r="56">
      <c r="B56" s="143" t="s">
        <v>249</v>
      </c>
      <c r="C56" s="183" t="n">
        <v>38.95</v>
      </c>
      <c r="D56" s="184" t="s">
        <v>288</v>
      </c>
      <c r="E56" s="183" t="n">
        <v>83</v>
      </c>
      <c r="F56" s="166" t="n">
        <f aca="false">IF(ISERROR(E56/$E$60),"",E56/$E$60)</f>
        <v>0.0142783416480303</v>
      </c>
      <c r="G56" s="167" t="inlineStr">
        <f aca="false">IF(ISERROR(G55+F56),"",G55+F56)</f>
        <is>
          <t/>
        </is>
      </c>
    </row>
    <row collapsed="false" customFormat="false" customHeight="false" hidden="false" ht="14.9" outlineLevel="0" r="57">
      <c r="B57" s="143" t="s">
        <v>251</v>
      </c>
      <c r="C57" s="183" t="n">
        <v>34.04</v>
      </c>
      <c r="D57" s="184" t="s">
        <v>289</v>
      </c>
      <c r="E57" s="183" t="n">
        <v>82</v>
      </c>
      <c r="F57" s="166" t="n">
        <f aca="false">IF(ISERROR(E57/$E$60),"",E57/$E$60)</f>
        <v>0.0141063134354034</v>
      </c>
      <c r="G57" s="167" t="inlineStr">
        <f aca="false">IF(ISERROR(G56+F57),"",G56+F57)</f>
        <is>
          <t/>
        </is>
      </c>
    </row>
    <row collapsed="false" customFormat="false" customHeight="false" hidden="false" ht="14.9" outlineLevel="0" r="58">
      <c r="B58" s="143" t="s">
        <v>253</v>
      </c>
      <c r="C58" s="183" t="n">
        <v>3.09</v>
      </c>
      <c r="D58" s="184" t="s">
        <v>290</v>
      </c>
      <c r="E58" s="183" t="n">
        <v>76</v>
      </c>
      <c r="F58" s="166" t="n">
        <f aca="false">IF(ISERROR(E58/$E$60),"",E58/$E$60)</f>
        <v>0.0130741441596422</v>
      </c>
      <c r="G58" s="167" t="inlineStr">
        <f aca="false">IF(ISERROR(G57+F58),"",G57+F58)</f>
        <is>
          <t/>
        </is>
      </c>
    </row>
    <row collapsed="false" customFormat="false" customHeight="true" hidden="false" ht="15" outlineLevel="0" r="59">
      <c r="B59" s="185" t="s">
        <v>291</v>
      </c>
      <c r="C59" s="185"/>
      <c r="D59" s="185"/>
      <c r="E59" s="186" t="n">
        <v>2695</v>
      </c>
      <c r="F59" s="166" t="n">
        <f aca="false">IF(ISERROR(E59/$E$60),"",E59/$E$60)</f>
        <v>0.463616033029417</v>
      </c>
      <c r="G59" s="167" t="inlineStr">
        <f aca="false">IF(ISERROR(G58+F59),"",G58+F59)</f>
        <is>
          <t/>
        </is>
      </c>
    </row>
    <row collapsed="false" customFormat="false" customHeight="true" hidden="false" ht="15.75" outlineLevel="0" r="60">
      <c r="B60" s="187" t="s">
        <v>292</v>
      </c>
      <c r="C60" s="187"/>
      <c r="D60" s="187"/>
      <c r="E60" s="188" t="n">
        <f aca="false">SUM(E49:E59)</f>
        <v>5813</v>
      </c>
      <c r="F60" s="189" t="n">
        <f aca="false">SUM(F49:F59)</f>
        <v>1</v>
      </c>
      <c r="G60" s="190" t="inlineStr">
        <f aca="false">F60</f>
        <is>
          <t/>
        </is>
      </c>
    </row>
    <row collapsed="false" customFormat="false" customHeight="false" hidden="false" ht="14.9" outlineLevel="0" r="61">
      <c r="D61" s="191" t="s">
        <v>293</v>
      </c>
      <c r="E61" s="192" t="n">
        <f aca="false">5_Produccion_Desagregada_09_10!F49</f>
        <v>10238</v>
      </c>
      <c r="F61" s="193"/>
      <c r="G61" s="193"/>
    </row>
    <row collapsed="false" customFormat="false" customHeight="false" hidden="false" ht="14.9" outlineLevel="0" r="62">
      <c r="D62" s="194" t="s">
        <v>294</v>
      </c>
      <c r="E62" s="195" t="n">
        <f aca="false">IF(E61&gt;0,E61-E60,"")</f>
        <v>4425</v>
      </c>
      <c r="F62" s="193"/>
      <c r="G62" s="193"/>
    </row>
    <row collapsed="false" customFormat="false" customHeight="false" hidden="false" ht="14.9" outlineLevel="0" r="63">
      <c r="D63" s="196" t="s">
        <v>295</v>
      </c>
      <c r="E63" s="197" t="n">
        <f aca="false">IF(ISERROR(E62/E61),"",E62/E61)</f>
        <v>0.432213322914632</v>
      </c>
      <c r="F63" s="193"/>
      <c r="G63" s="193"/>
    </row>
  </sheetData>
  <mergeCells count="9">
    <mergeCell ref="B1:G1"/>
    <mergeCell ref="B14:D14"/>
    <mergeCell ref="B15:D15"/>
    <mergeCell ref="B29:D29"/>
    <mergeCell ref="B30:D30"/>
    <mergeCell ref="B44:D44"/>
    <mergeCell ref="B45:D45"/>
    <mergeCell ref="B59:D59"/>
    <mergeCell ref="B60:D60"/>
  </mergeCells>
  <printOptions headings="false" gridLines="false" gridLinesSet="true" horizontalCentered="false" verticalCentered="false"/>
  <pageMargins left="0.7" right="0.7" top="0.75" bottom="0.75" header="0.511805555555555" footer="0.511805555555555"/>
  <pageSetup blackAndWhite="false" cellComments="none" copies="1" draft="false" firstPageNumber="0" fitToHeight="1" fitToWidth="1" horizontalDpi="300" orientation="portrait" pageOrder="downThenOver" paperSize="9" scale="58" useFirstPageNumber="false" usePrinterDefaults="false" verticalDpi="300"/>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sheetPr filterMode="false">
    <pageSetUpPr fitToPage="false"/>
  </sheetPr>
  <dimension ref="A1:U21"/>
  <sheetViews>
    <sheetView colorId="64" defaultGridColor="true" rightToLeft="false" showFormulas="false" showGridLines="true" showOutlineSymbols="true" showRowColHeaders="true" showZeros="true" tabSelected="false" topLeftCell="K1" view="normal" windowProtection="false" workbookViewId="0" zoomScale="100" zoomScaleNormal="100" zoomScalePageLayoutView="100">
      <selection activeCell="T31" activeCellId="0" pane="topLeft" sqref="T31"/>
    </sheetView>
  </sheetViews>
  <cols>
    <col collapsed="false" hidden="false" max="1" min="1" style="99" width="37.2941176470588"/>
    <col collapsed="false" hidden="false" max="11" min="2" style="99" width="10.4705882352941"/>
    <col collapsed="false" hidden="false" max="21" min="12" style="99" width="10.8980392156863"/>
    <col collapsed="false" hidden="false" max="257" min="22" style="99" width="11.4745098039216"/>
  </cols>
  <sheetData>
    <row collapsed="false" customFormat="false" customHeight="false" hidden="false" ht="14" outlineLevel="0" r="1">
      <c r="A1" s="100" t="s">
        <v>0</v>
      </c>
    </row>
    <row collapsed="false" customFormat="false" customHeight="true" hidden="false" ht="21.75" outlineLevel="0" r="2">
      <c r="A2" s="198" t="s">
        <v>296</v>
      </c>
    </row>
    <row collapsed="false" customFormat="false" customHeight="true" hidden="false" ht="19.5" outlineLevel="0" r="3">
      <c r="A3" s="199"/>
    </row>
    <row collapsed="false" customFormat="false" customHeight="true" hidden="false" ht="34.5" outlineLevel="0" r="4">
      <c r="A4" s="200" t="s">
        <v>297</v>
      </c>
      <c r="B4" s="201" t="s">
        <v>298</v>
      </c>
      <c r="C4" s="201" t="s">
        <v>299</v>
      </c>
      <c r="D4" s="201" t="s">
        <v>300</v>
      </c>
      <c r="E4" s="201" t="s">
        <v>301</v>
      </c>
      <c r="F4" s="201" t="s">
        <v>302</v>
      </c>
      <c r="G4" s="201" t="s">
        <v>303</v>
      </c>
      <c r="H4" s="201" t="s">
        <v>304</v>
      </c>
      <c r="I4" s="201" t="s">
        <v>305</v>
      </c>
      <c r="J4" s="201" t="s">
        <v>306</v>
      </c>
      <c r="K4" s="201" t="s">
        <v>307</v>
      </c>
      <c r="L4" s="202" t="s">
        <v>308</v>
      </c>
      <c r="M4" s="202" t="s">
        <v>309</v>
      </c>
      <c r="N4" s="202" t="s">
        <v>310</v>
      </c>
      <c r="O4" s="202" t="s">
        <v>311</v>
      </c>
      <c r="P4" s="202" t="s">
        <v>312</v>
      </c>
      <c r="Q4" s="202" t="s">
        <v>313</v>
      </c>
      <c r="R4" s="202" t="s">
        <v>314</v>
      </c>
      <c r="S4" s="202" t="s">
        <v>315</v>
      </c>
      <c r="T4" s="202" t="s">
        <v>316</v>
      </c>
      <c r="U4" s="203" t="s">
        <v>317</v>
      </c>
    </row>
    <row collapsed="false" customFormat="false" customHeight="true" hidden="false" ht="17.25" outlineLevel="0" r="5">
      <c r="A5" s="204" t="s">
        <v>318</v>
      </c>
      <c r="B5" s="205"/>
      <c r="C5" s="205"/>
      <c r="D5" s="205"/>
      <c r="E5" s="205"/>
      <c r="F5" s="205"/>
      <c r="G5" s="205"/>
      <c r="H5" s="205"/>
      <c r="I5" s="205"/>
      <c r="J5" s="205"/>
      <c r="K5" s="205"/>
      <c r="L5" s="206"/>
      <c r="M5" s="206"/>
      <c r="N5" s="206"/>
      <c r="O5" s="206"/>
      <c r="P5" s="206"/>
      <c r="Q5" s="206"/>
      <c r="R5" s="206"/>
      <c r="S5" s="206"/>
      <c r="T5" s="206"/>
      <c r="U5" s="207"/>
    </row>
    <row collapsed="false" customFormat="false" customHeight="true" hidden="false" ht="17.25" outlineLevel="0" r="6">
      <c r="A6" s="208" t="s">
        <v>319</v>
      </c>
      <c r="B6" s="186" t="n">
        <f aca="false">145554+57594+10050+2966</f>
        <v>216164</v>
      </c>
      <c r="C6" s="186" t="n">
        <f aca="false">155845+49613+11387+1903</f>
        <v>218748</v>
      </c>
      <c r="D6" s="186" t="n">
        <f aca="false">138514+21794+8144+2913</f>
        <v>171365</v>
      </c>
      <c r="E6" s="186" t="n">
        <f aca="false">135584+51524+28927+2960</f>
        <v>218995</v>
      </c>
      <c r="F6" s="186" t="n">
        <f aca="false">153603+56975+9967+2658</f>
        <v>223203</v>
      </c>
      <c r="G6" s="186" t="n">
        <f aca="false">145218+52771+6643+3121</f>
        <v>207753</v>
      </c>
      <c r="H6" s="186" t="n">
        <f aca="false">127535+51831+8499+2980</f>
        <v>190845</v>
      </c>
      <c r="I6" s="186" t="n">
        <f aca="false">128792+50782+6926+3076</f>
        <v>189576</v>
      </c>
      <c r="J6" s="209" t="n">
        <v>195196</v>
      </c>
      <c r="K6" s="210" t="n">
        <v>207721</v>
      </c>
      <c r="L6" s="211" t="n">
        <f aca="false">IF(AND(ISNUMBER(B6),ISNUMBER(C6),B6&gt;0),C6/B6-1,"")</f>
        <v>0.0119538868636775</v>
      </c>
      <c r="M6" s="211" t="n">
        <f aca="false">IF(AND(ISNUMBER(C6),ISNUMBER(D6),C6&gt;0),D6/C6-1,"")</f>
        <v>-0.216609980434107</v>
      </c>
      <c r="N6" s="211" t="n">
        <f aca="false">IF(AND(ISNUMBER(D6),ISNUMBER(E6),D6&gt;0),E6/D6-1,"")</f>
        <v>0.277944737840282</v>
      </c>
      <c r="O6" s="211" t="n">
        <f aca="false">IF(AND(ISNUMBER(E6),ISNUMBER(F6),E6&gt;0),F6/E6-1,"")</f>
        <v>0.0192150505719308</v>
      </c>
      <c r="P6" s="211" t="n">
        <f aca="false">IF(AND(ISNUMBER(F6),ISNUMBER(G6),F6&gt;0),G6/F6-1,"")</f>
        <v>-0.0692194997379068</v>
      </c>
      <c r="Q6" s="211" t="n">
        <f aca="false">IF(AND(ISNUMBER(G6),ISNUMBER(H6),G6&gt;0),H6/G6-1,"")</f>
        <v>-0.0813851063522548</v>
      </c>
      <c r="R6" s="211" t="n">
        <f aca="false">IF(AND(ISNUMBER(H6),ISNUMBER(I6),H6&gt;0),I6/H6-1,"")</f>
        <v>-0.00664937514737085</v>
      </c>
      <c r="S6" s="211" t="n">
        <f aca="false">IF(AND(ISNUMBER(I6),ISNUMBER(J6),I6&gt;0),J6/I6-1,"")</f>
        <v>0.029645102755623</v>
      </c>
      <c r="T6" s="211" t="n">
        <f aca="false">IF(AND(ISNUMBER(J6),ISNUMBER(K6),J6&gt;0),K6/J6-1,"")</f>
        <v>0.0641662738990554</v>
      </c>
      <c r="U6" s="212" t="inlineStr">
        <f aca="false">IF(ISERROR(AVERAGE(L6:T6)),"",AVERAGE(L6:T6))</f>
        <is>
          <t/>
        </is>
      </c>
    </row>
    <row collapsed="false" customFormat="false" customHeight="true" hidden="false" ht="17.25" outlineLevel="0" r="7">
      <c r="A7" s="208" t="s">
        <v>320</v>
      </c>
      <c r="B7" s="186" t="n">
        <v>29689</v>
      </c>
      <c r="C7" s="186" t="n">
        <v>34163</v>
      </c>
      <c r="D7" s="186" t="n">
        <v>30985</v>
      </c>
      <c r="E7" s="186" t="n">
        <v>28576</v>
      </c>
      <c r="F7" s="186" t="n">
        <v>21633</v>
      </c>
      <c r="G7" s="186" t="n">
        <v>24218</v>
      </c>
      <c r="H7" s="186" t="n">
        <v>23926</v>
      </c>
      <c r="I7" s="186" t="n">
        <f aca="false">9426+15301</f>
        <v>24727</v>
      </c>
      <c r="J7" s="209" t="n">
        <f aca="false">8099+13779</f>
        <v>21878</v>
      </c>
      <c r="K7" s="210" t="n">
        <v>23268</v>
      </c>
      <c r="L7" s="211" t="n">
        <f aca="false">IF(AND(ISNUMBER(B7),ISNUMBER(C7),B7&gt;0),C7/B7-1,"")</f>
        <v>0.150695543804102</v>
      </c>
      <c r="M7" s="211" t="n">
        <f aca="false">IF(AND(ISNUMBER(C7),ISNUMBER(D7),C7&gt;0),D7/C7-1,"")</f>
        <v>-0.0930246172760003</v>
      </c>
      <c r="N7" s="211" t="n">
        <f aca="false">IF(AND(ISNUMBER(D7),ISNUMBER(E7),D7&gt;0),E7/D7-1,"")</f>
        <v>-0.0777472970792319</v>
      </c>
      <c r="O7" s="211" t="n">
        <f aca="false">IF(AND(ISNUMBER(E7),ISNUMBER(F7),E7&gt;0),F7/E7-1,"")</f>
        <v>-0.242966125419933</v>
      </c>
      <c r="P7" s="211" t="n">
        <f aca="false">IF(AND(ISNUMBER(F7),ISNUMBER(G7),F7&gt;0),G7/F7-1,"")</f>
        <v>0.119493366615818</v>
      </c>
      <c r="Q7" s="211" t="n">
        <f aca="false">IF(AND(ISNUMBER(G7),ISNUMBER(H7),G7&gt;0),H7/G7-1,"")</f>
        <v>-0.012057147576183</v>
      </c>
      <c r="R7" s="211" t="n">
        <f aca="false">IF(AND(ISNUMBER(H7),ISNUMBER(I7),H7&gt;0),I7/H7-1,"")</f>
        <v>0.0334782245256207</v>
      </c>
      <c r="S7" s="211" t="n">
        <f aca="false">IF(AND(ISNUMBER(I7),ISNUMBER(J7),I7&gt;0),J7/I7-1,"")</f>
        <v>-0.115218182553484</v>
      </c>
      <c r="T7" s="211" t="n">
        <f aca="false">IF(AND(ISNUMBER(J7),ISNUMBER(K7),J7&gt;0),K7/J7-1,"")</f>
        <v>0.0635341438888382</v>
      </c>
      <c r="U7" s="212" t="inlineStr">
        <f aca="false">IF(ISERROR(AVERAGE(L7:T7)),"",AVERAGE(L7:T7))</f>
        <is>
          <t/>
        </is>
      </c>
    </row>
    <row collapsed="false" customFormat="false" customHeight="true" hidden="false" ht="17.25" outlineLevel="0" r="8">
      <c r="A8" s="213" t="s">
        <v>321</v>
      </c>
      <c r="B8" s="214" t="n">
        <f aca="false">IF(ISERROR(B7/SUM(B6:B7)),"",B7/SUM(B6:B7))</f>
        <v>0.120759152827096</v>
      </c>
      <c r="C8" s="214" t="n">
        <f aca="false">IF(ISERROR(C7/SUM(C6:C7)),"",C7/SUM(C6:C7))</f>
        <v>0.135079138511176</v>
      </c>
      <c r="D8" s="214" t="n">
        <f aca="false">IF(ISERROR(D7/SUM(D6:D7)),"",D7/SUM(D6:D7))</f>
        <v>0.153125772176921</v>
      </c>
      <c r="E8" s="214" t="n">
        <f aca="false">IF(ISERROR(E7/SUM(E6:E7)),"",E7/SUM(E6:E7))</f>
        <v>0.115425473904456</v>
      </c>
      <c r="F8" s="214" t="n">
        <f aca="false">IF(ISERROR(F7/SUM(F6:F7)),"",F7/SUM(F6:F7))</f>
        <v>0.0883571043473999</v>
      </c>
      <c r="G8" s="214" t="n">
        <f aca="false">IF(ISERROR(G7/SUM(G6:G7)),"",G7/SUM(G6:G7))</f>
        <v>0.104400981157127</v>
      </c>
      <c r="H8" s="214" t="n">
        <f aca="false">IF(ISERROR(H7/SUM(H6:H7)),"",H7/SUM(H6:H7))</f>
        <v>0.111402377415945</v>
      </c>
      <c r="I8" s="214" t="n">
        <f aca="false">IF(ISERROR(I7/SUM(I6:I7)),"",I7/SUM(I6:I7))</f>
        <v>0.115383359075701</v>
      </c>
      <c r="J8" s="214" t="n">
        <f aca="false">IF(ISERROR(J7/SUM(J6:J7)),"",J7/SUM(J6:J7))</f>
        <v>0.100785907110018</v>
      </c>
      <c r="K8" s="214" t="n">
        <f aca="false">IF(ISERROR(K7/SUM(K6:K7)),"",K7/SUM(K6:K7))</f>
        <v>0.100732069492487</v>
      </c>
      <c r="L8" s="206" t="n">
        <f aca="false">IF(AND(ISNUMBER(B8),ISNUMBER(C8),B8&gt;0),C8/B8-1,"")</f>
        <v>0.118583025376002</v>
      </c>
      <c r="M8" s="206" t="n">
        <f aca="false">IF(AND(ISNUMBER(C8),ISNUMBER(D8),C8&gt;0),D8/C8-1,"")</f>
        <v>0.133600449815219</v>
      </c>
      <c r="N8" s="206" t="n">
        <f aca="false">IF(AND(ISNUMBER(D8),ISNUMBER(E8),D8&gt;0),E8/D8-1,"")</f>
        <v>-0.246204787975904</v>
      </c>
      <c r="O8" s="206" t="n">
        <f aca="false">IF(AND(ISNUMBER(E8),ISNUMBER(F8),E8&gt;0),F8/E8-1,"")</f>
        <v>-0.234509494667198</v>
      </c>
      <c r="P8" s="206" t="n">
        <f aca="false">IF(AND(ISNUMBER(F8),ISNUMBER(G8),F8&gt;0),G8/F8-1,"")</f>
        <v>0.181579929856536</v>
      </c>
      <c r="Q8" s="206" t="n">
        <f aca="false">IF(AND(ISNUMBER(G8),ISNUMBER(H8),G8&gt;0),H8/G8-1,"")</f>
        <v>0.0670625522980535</v>
      </c>
      <c r="R8" s="206" t="n">
        <f aca="false">IF(AND(ISNUMBER(H8),ISNUMBER(I8),H8&gt;0),I8/H8-1,"")</f>
        <v>0.035735158908611</v>
      </c>
      <c r="S8" s="206" t="n">
        <f aca="false">IF(AND(ISNUMBER(I8),ISNUMBER(J8),I8&gt;0),J8/I8-1,"")</f>
        <v>-0.126512627840088</v>
      </c>
      <c r="T8" s="206" t="n">
        <f aca="false">IF(AND(ISNUMBER(J8),ISNUMBER(K8),J8&gt;0),K8/J8-1,"")</f>
        <v>-0.000534178032176258</v>
      </c>
      <c r="U8" s="207" t="inlineStr">
        <f aca="false">IF(ISERROR(AVERAGE(L8:T8)),"",AVERAGE(L8:T8))</f>
        <is>
          <t/>
        </is>
      </c>
    </row>
    <row collapsed="false" customFormat="false" customHeight="true" hidden="false" ht="17.25" outlineLevel="0" r="9">
      <c r="A9" s="208" t="s">
        <v>322</v>
      </c>
      <c r="B9" s="186" t="n">
        <v>8882</v>
      </c>
      <c r="C9" s="186" t="n">
        <v>8841</v>
      </c>
      <c r="D9" s="186" t="n">
        <v>8523</v>
      </c>
      <c r="E9" s="186" t="n">
        <v>9371</v>
      </c>
      <c r="F9" s="186" t="n">
        <v>7678</v>
      </c>
      <c r="G9" s="186" t="n">
        <v>9385</v>
      </c>
      <c r="H9" s="186" t="n">
        <v>9129</v>
      </c>
      <c r="I9" s="186" t="n">
        <v>11966</v>
      </c>
      <c r="J9" s="186" t="n">
        <v>10679</v>
      </c>
      <c r="K9" s="186" t="n">
        <v>10153</v>
      </c>
      <c r="L9" s="211" t="n">
        <f aca="false">IF(AND(ISNUMBER(B9),ISNUMBER(C9),B9&gt;0),C9/B9-1,"")</f>
        <v>-0.00461607746003156</v>
      </c>
      <c r="M9" s="211" t="n">
        <f aca="false">IF(AND(ISNUMBER(C9),ISNUMBER(D9),C9&gt;0),D9/C9-1,"")</f>
        <v>-0.0359687818120122</v>
      </c>
      <c r="N9" s="211" t="n">
        <f aca="false">IF(AND(ISNUMBER(D9),ISNUMBER(E9),D9&gt;0),E9/D9-1,"")</f>
        <v>0.0994954828112167</v>
      </c>
      <c r="O9" s="211" t="n">
        <f aca="false">IF(AND(ISNUMBER(E9),ISNUMBER(F9),E9&gt;0),F9/E9-1,"")</f>
        <v>-0.18066374986661</v>
      </c>
      <c r="P9" s="211" t="n">
        <f aca="false">IF(AND(ISNUMBER(F9),ISNUMBER(G9),F9&gt;0),G9/F9-1,"")</f>
        <v>0.222323521750456</v>
      </c>
      <c r="Q9" s="211" t="n">
        <f aca="false">IF(AND(ISNUMBER(G9),ISNUMBER(H9),G9&gt;0),H9/G9-1,"")</f>
        <v>-0.0272775705913693</v>
      </c>
      <c r="R9" s="211" t="n">
        <f aca="false">IF(AND(ISNUMBER(H9),ISNUMBER(I9),H9&gt;0),I9/H9-1,"")</f>
        <v>0.310767882572023</v>
      </c>
      <c r="S9" s="211" t="n">
        <f aca="false">IF(AND(ISNUMBER(I9),ISNUMBER(J9),I9&gt;0),J9/I9-1,"")</f>
        <v>-0.107554738425539</v>
      </c>
      <c r="T9" s="211" t="n">
        <f aca="false">IF(AND(ISNUMBER(J9),ISNUMBER(K9),J9&gt;0),K9/J9-1,"")</f>
        <v>-0.0492555482723102</v>
      </c>
      <c r="U9" s="212" t="inlineStr">
        <f aca="false">IF(ISERROR(AVERAGE(L9:T9)),"",AVERAGE(L9:T9))</f>
        <is>
          <t/>
        </is>
      </c>
    </row>
    <row collapsed="false" customFormat="false" customHeight="true" hidden="false" ht="17.25" outlineLevel="0" r="10">
      <c r="A10" s="208" t="s">
        <v>323</v>
      </c>
      <c r="B10" s="186" t="n">
        <f aca="false">+B11+B12</f>
        <v>7233</v>
      </c>
      <c r="C10" s="186" t="n">
        <f aca="false">+C11+C12</f>
        <v>6497</v>
      </c>
      <c r="D10" s="186" t="n">
        <f aca="false">+D11+D12</f>
        <v>6989</v>
      </c>
      <c r="E10" s="186" t="n">
        <f aca="false">+E11+E12</f>
        <v>7536</v>
      </c>
      <c r="F10" s="186" t="n">
        <f aca="false">+F11+F12</f>
        <v>9481</v>
      </c>
      <c r="G10" s="186" t="n">
        <f aca="false">+G11+G12</f>
        <v>8700</v>
      </c>
      <c r="H10" s="186" t="n">
        <f aca="false">+H11+H12</f>
        <v>8949</v>
      </c>
      <c r="I10" s="186" t="n">
        <f aca="false">+I11+I12</f>
        <v>7818</v>
      </c>
      <c r="J10" s="186" t="n">
        <f aca="false">+J11+J12</f>
        <v>10537</v>
      </c>
      <c r="K10" s="186" t="n">
        <f aca="false">+K11+K12</f>
        <v>10238</v>
      </c>
      <c r="L10" s="211" t="n">
        <f aca="false">IF(AND(ISNUMBER(B10),ISNUMBER(C10),B10&gt;0),C10/B10-1,"")</f>
        <v>-0.101755841283008</v>
      </c>
      <c r="M10" s="211" t="n">
        <f aca="false">IF(AND(ISNUMBER(C10),ISNUMBER(D10),C10&gt;0),D10/C10-1,"")</f>
        <v>0.0757272587348006</v>
      </c>
      <c r="N10" s="211" t="n">
        <f aca="false">IF(AND(ISNUMBER(D10),ISNUMBER(E10),D10&gt;0),E10/D10-1,"")</f>
        <v>0.078265846329947</v>
      </c>
      <c r="O10" s="211" t="n">
        <f aca="false">IF(AND(ISNUMBER(E10),ISNUMBER(F10),E10&gt;0),F10/E10-1,"")</f>
        <v>0.258094479830149</v>
      </c>
      <c r="P10" s="211" t="n">
        <f aca="false">IF(AND(ISNUMBER(F10),ISNUMBER(G10),F10&gt;0),G10/F10-1,"")</f>
        <v>-0.0823752768695285</v>
      </c>
      <c r="Q10" s="211" t="n">
        <f aca="false">IF(AND(ISNUMBER(G10),ISNUMBER(H10),G10&gt;0),H10/G10-1,"")</f>
        <v>0.0286206896551724</v>
      </c>
      <c r="R10" s="211" t="n">
        <f aca="false">IF(AND(ISNUMBER(H10),ISNUMBER(I10),H10&gt;0),I10/H10-1,"")</f>
        <v>-0.126382836071069</v>
      </c>
      <c r="S10" s="211" t="n">
        <f aca="false">IF(AND(ISNUMBER(I10),ISNUMBER(J10),I10&gt;0),J10/I10-1,"")</f>
        <v>0.34778715784088</v>
      </c>
      <c r="T10" s="211" t="n">
        <f aca="false">IF(AND(ISNUMBER(J10),ISNUMBER(K10),J10&gt;0),K10/J10-1,"")</f>
        <v>-0.0283761981588687</v>
      </c>
      <c r="U10" s="212" t="inlineStr">
        <f aca="false">IF(ISERROR(AVERAGE(L10:T10)),"",AVERAGE(L10:T10))</f>
        <is>
          <t/>
        </is>
      </c>
    </row>
    <row collapsed="false" customFormat="false" customHeight="true" hidden="false" ht="17.25" outlineLevel="0" r="11">
      <c r="A11" s="208" t="s">
        <v>324</v>
      </c>
      <c r="B11" s="186" t="n">
        <v>5158</v>
      </c>
      <c r="C11" s="186" t="n">
        <v>4247</v>
      </c>
      <c r="D11" s="186" t="n">
        <v>5112</v>
      </c>
      <c r="E11" s="186" t="n">
        <v>5403</v>
      </c>
      <c r="F11" s="186" t="n">
        <v>6420</v>
      </c>
      <c r="G11" s="186" t="n">
        <f aca="false">3550+2445</f>
        <v>5995</v>
      </c>
      <c r="H11" s="186" t="n">
        <f aca="false">3757+2487</f>
        <v>6244</v>
      </c>
      <c r="I11" s="186" t="n">
        <f aca="false">2793+2793</f>
        <v>5586</v>
      </c>
      <c r="J11" s="215" t="n">
        <f aca="false">4259+2664</f>
        <v>6923</v>
      </c>
      <c r="K11" s="186" t="n">
        <f aca="false">4688+1939</f>
        <v>6627</v>
      </c>
      <c r="L11" s="211" t="n">
        <f aca="false">IF(AND(ISNUMBER(B11),ISNUMBER(C11),B11&gt;0),C11/B11-1,"")</f>
        <v>-0.176618844513377</v>
      </c>
      <c r="M11" s="211" t="n">
        <f aca="false">IF(AND(ISNUMBER(C11),ISNUMBER(D11),C11&gt;0),D11/C11-1,"")</f>
        <v>0.20367318106899</v>
      </c>
      <c r="N11" s="211" t="n">
        <f aca="false">IF(AND(ISNUMBER(D11),ISNUMBER(E11),D11&gt;0),E11/D11-1,"")</f>
        <v>0.056924882629108</v>
      </c>
      <c r="O11" s="211" t="n">
        <f aca="false">IF(AND(ISNUMBER(E11),ISNUMBER(F11),E11&gt;0),F11/E11-1,"")</f>
        <v>0.188228761799001</v>
      </c>
      <c r="P11" s="211" t="n">
        <f aca="false">IF(AND(ISNUMBER(F11),ISNUMBER(G11),F11&gt;0),G11/F11-1,"")</f>
        <v>-0.0661993769470405</v>
      </c>
      <c r="Q11" s="211" t="n">
        <f aca="false">IF(AND(ISNUMBER(G11),ISNUMBER(H11),G11&gt;0),H11/G11-1,"")</f>
        <v>0.0415346121768141</v>
      </c>
      <c r="R11" s="211" t="n">
        <f aca="false">IF(AND(ISNUMBER(H11),ISNUMBER(I11),H11&gt;0),I11/H11-1,"")</f>
        <v>-0.105381165919282</v>
      </c>
      <c r="S11" s="211" t="n">
        <f aca="false">IF(AND(ISNUMBER(I11),ISNUMBER(J11),I11&gt;0),J11/I11-1,"")</f>
        <v>0.239348370927318</v>
      </c>
      <c r="T11" s="211" t="n">
        <f aca="false">IF(AND(ISNUMBER(J11),ISNUMBER(K11),J11&gt;0),K11/J11-1,"")</f>
        <v>-0.0427560306225625</v>
      </c>
      <c r="U11" s="212" t="inlineStr">
        <f aca="false">IF(ISERROR(AVERAGE(L11:T11)),"",AVERAGE(L11:T11))</f>
        <is>
          <t/>
        </is>
      </c>
    </row>
    <row collapsed="false" customFormat="false" customHeight="true" hidden="false" ht="17.25" outlineLevel="0" r="12">
      <c r="A12" s="208" t="s">
        <v>325</v>
      </c>
      <c r="B12" s="186" t="n">
        <v>2075</v>
      </c>
      <c r="C12" s="186" t="n">
        <v>2250</v>
      </c>
      <c r="D12" s="186" t="n">
        <v>1877</v>
      </c>
      <c r="E12" s="186" t="n">
        <v>2133</v>
      </c>
      <c r="F12" s="186" t="n">
        <v>3061</v>
      </c>
      <c r="G12" s="186" t="n">
        <v>2705</v>
      </c>
      <c r="H12" s="186" t="n">
        <v>2705</v>
      </c>
      <c r="I12" s="186" t="n">
        <v>2232</v>
      </c>
      <c r="J12" s="186" t="n">
        <f aca="false">3091+523</f>
        <v>3614</v>
      </c>
      <c r="K12" s="186" t="n">
        <f aca="false">3310+301</f>
        <v>3611</v>
      </c>
      <c r="L12" s="211" t="n">
        <f aca="false">IF(AND(ISNUMBER(B12),ISNUMBER(C12),B12&gt;0),C12/B12-1,"")</f>
        <v>0.0843373493975903</v>
      </c>
      <c r="M12" s="211" t="n">
        <f aca="false">IF(AND(ISNUMBER(C12),ISNUMBER(D12),C12&gt;0),D12/C12-1,"")</f>
        <v>-0.165777777777778</v>
      </c>
      <c r="N12" s="211" t="n">
        <f aca="false">IF(AND(ISNUMBER(D12),ISNUMBER(E12),D12&gt;0),E12/D12-1,"")</f>
        <v>0.136387852956846</v>
      </c>
      <c r="O12" s="211" t="n">
        <f aca="false">IF(AND(ISNUMBER(E12),ISNUMBER(F12),E12&gt;0),F12/E12-1,"")</f>
        <v>0.435067979371777</v>
      </c>
      <c r="P12" s="211" t="n">
        <f aca="false">IF(AND(ISNUMBER(F12),ISNUMBER(G12),F12&gt;0),G12/F12-1,"")</f>
        <v>-0.116301862136557</v>
      </c>
      <c r="Q12" s="211" t="n">
        <f aca="false">IF(AND(ISNUMBER(G12),ISNUMBER(H12),G12&gt;0),H12/G12-1,"")</f>
        <v>0</v>
      </c>
      <c r="R12" s="211" t="n">
        <f aca="false">IF(AND(ISNUMBER(H12),ISNUMBER(I12),H12&gt;0),I12/H12-1,"")</f>
        <v>-0.174861367837338</v>
      </c>
      <c r="S12" s="211" t="n">
        <f aca="false">IF(AND(ISNUMBER(I12),ISNUMBER(J12),I12&gt;0),J12/I12-1,"")</f>
        <v>0.619175627240143</v>
      </c>
      <c r="T12" s="211" t="n">
        <f aca="false">IF(AND(ISNUMBER(J12),ISNUMBER(K12),J12&gt;0),K12/J12-1,"")</f>
        <v>-0.000830105146651938</v>
      </c>
      <c r="U12" s="212" t="inlineStr">
        <f aca="false">IF(ISERROR(AVERAGE(L12:T12)),"",AVERAGE(L12:T12))</f>
        <is>
          <t/>
        </is>
      </c>
    </row>
    <row collapsed="false" customFormat="false" customHeight="true" hidden="false" ht="17.25" outlineLevel="0" r="13">
      <c r="A13" s="208" t="s">
        <v>326</v>
      </c>
      <c r="B13" s="186" t="n">
        <v>11202</v>
      </c>
      <c r="C13" s="186" t="n">
        <v>11725</v>
      </c>
      <c r="D13" s="186" t="n">
        <v>8348</v>
      </c>
      <c r="E13" s="186" t="n">
        <v>5979</v>
      </c>
      <c r="F13" s="186" t="n">
        <v>7330</v>
      </c>
      <c r="G13" s="186" t="n">
        <v>11372</v>
      </c>
      <c r="H13" s="186" t="n">
        <v>11989</v>
      </c>
      <c r="I13" s="186" t="n">
        <v>11296</v>
      </c>
      <c r="J13" s="186" t="n">
        <v>10679</v>
      </c>
      <c r="K13" s="186" t="n">
        <v>10153</v>
      </c>
      <c r="L13" s="211" t="n">
        <f aca="false">IF(AND(ISNUMBER(B13),ISNUMBER(C13),B13&gt;0),C13/B13-1,"")</f>
        <v>0.0466880914122478</v>
      </c>
      <c r="M13" s="211" t="n">
        <f aca="false">IF(AND(ISNUMBER(C13),ISNUMBER(D13),C13&gt;0),D13/C13-1,"")</f>
        <v>-0.288017057569296</v>
      </c>
      <c r="N13" s="211" t="n">
        <f aca="false">IF(AND(ISNUMBER(D13),ISNUMBER(E13),D13&gt;0),E13/D13-1,"")</f>
        <v>-0.28378054623862</v>
      </c>
      <c r="O13" s="211" t="n">
        <f aca="false">IF(AND(ISNUMBER(E13),ISNUMBER(F13),E13&gt;0),F13/E13-1,"")</f>
        <v>0.225957517979595</v>
      </c>
      <c r="P13" s="211" t="n">
        <f aca="false">IF(AND(ISNUMBER(F13),ISNUMBER(G13),F13&gt;0),G13/F13-1,"")</f>
        <v>0.551432469304229</v>
      </c>
      <c r="Q13" s="211" t="n">
        <f aca="false">IF(AND(ISNUMBER(G13),ISNUMBER(H13),G13&gt;0),H13/G13-1,"")</f>
        <v>0.0542560675342947</v>
      </c>
      <c r="R13" s="211" t="n">
        <f aca="false">IF(AND(ISNUMBER(H13),ISNUMBER(I13),H13&gt;0),I13/H13-1,"")</f>
        <v>-0.0578029860705647</v>
      </c>
      <c r="S13" s="211" t="n">
        <f aca="false">IF(AND(ISNUMBER(I13),ISNUMBER(J13),I13&gt;0),J13/I13-1,"")</f>
        <v>-0.054621104815864</v>
      </c>
      <c r="T13" s="211" t="n">
        <f aca="false">IF(AND(ISNUMBER(J13),ISNUMBER(K13),J13&gt;0),K13/J13-1,"")</f>
        <v>-0.0492555482723102</v>
      </c>
      <c r="U13" s="212" t="inlineStr">
        <f aca="false">IF(ISERROR(AVERAGE(L13:T13)),"",AVERAGE(L13:T13))</f>
        <is>
          <t/>
        </is>
      </c>
    </row>
    <row collapsed="false" customFormat="false" customHeight="true" hidden="false" ht="17.25" outlineLevel="0" r="14">
      <c r="A14" s="204" t="s">
        <v>327</v>
      </c>
      <c r="B14" s="205"/>
      <c r="C14" s="205"/>
      <c r="D14" s="205"/>
      <c r="E14" s="205"/>
      <c r="F14" s="205"/>
      <c r="G14" s="205"/>
      <c r="H14" s="205"/>
      <c r="I14" s="205"/>
      <c r="J14" s="205"/>
      <c r="K14" s="205"/>
      <c r="L14" s="206"/>
      <c r="M14" s="206"/>
      <c r="N14" s="206"/>
      <c r="O14" s="206"/>
      <c r="P14" s="206"/>
      <c r="Q14" s="206"/>
      <c r="R14" s="206"/>
      <c r="S14" s="206"/>
      <c r="T14" s="206"/>
      <c r="U14" s="207"/>
    </row>
    <row collapsed="false" customFormat="false" customHeight="true" hidden="false" ht="17.25" outlineLevel="0" r="15">
      <c r="A15" s="208" t="s">
        <v>328</v>
      </c>
      <c r="B15" s="186" t="n">
        <v>14704</v>
      </c>
      <c r="C15" s="186" t="n">
        <v>15101</v>
      </c>
      <c r="D15" s="186" t="n">
        <v>15185</v>
      </c>
      <c r="E15" s="186" t="n">
        <v>14263</v>
      </c>
      <c r="F15" s="186" t="n">
        <v>17221</v>
      </c>
      <c r="G15" s="186" t="n">
        <v>15800</v>
      </c>
      <c r="H15" s="186" t="n">
        <v>15228</v>
      </c>
      <c r="I15" s="186" t="n">
        <v>14948</v>
      </c>
      <c r="J15" s="186" t="n">
        <v>14530</v>
      </c>
      <c r="K15" s="186" t="n">
        <v>14247</v>
      </c>
      <c r="L15" s="211" t="n">
        <f aca="false">IF(AND(ISNUMBER(B15),ISNUMBER(C15),B15&gt;0),C15/B15-1,"")</f>
        <v>0.026999455930359</v>
      </c>
      <c r="M15" s="211" t="n">
        <f aca="false">IF(AND(ISNUMBER(C15),ISNUMBER(D15),C15&gt;0),D15/C15-1,"")</f>
        <v>0.00556254552678626</v>
      </c>
      <c r="N15" s="211" t="n">
        <f aca="false">IF(AND(ISNUMBER(D15),ISNUMBER(E15),D15&gt;0),E15/D15-1,"")</f>
        <v>-0.0607178136318736</v>
      </c>
      <c r="O15" s="211" t="n">
        <f aca="false">IF(AND(ISNUMBER(E15),ISNUMBER(F15),E15&gt;0),F15/E15-1,"")</f>
        <v>0.207389749702026</v>
      </c>
      <c r="P15" s="211" t="n">
        <f aca="false">IF(AND(ISNUMBER(F15),ISNUMBER(G15),F15&gt;0),G15/F15-1,"")</f>
        <v>-0.0825155333604321</v>
      </c>
      <c r="Q15" s="211" t="n">
        <f aca="false">IF(AND(ISNUMBER(G15),ISNUMBER(H15),G15&gt;0),H15/G15-1,"")</f>
        <v>-0.0362025316455696</v>
      </c>
      <c r="R15" s="211" t="n">
        <f aca="false">IF(AND(ISNUMBER(H15),ISNUMBER(I15),H15&gt;0),I15/H15-1,"")</f>
        <v>-0.0183871815077489</v>
      </c>
      <c r="S15" s="211" t="n">
        <f aca="false">IF(AND(ISNUMBER(I15),ISNUMBER(J15),I15&gt;0),J15/I15-1,"")</f>
        <v>-0.027963607171528</v>
      </c>
      <c r="T15" s="211" t="n">
        <f aca="false">IF(AND(ISNUMBER(J15),ISNUMBER(K15),J15&gt;0),K15/J15-1,"")</f>
        <v>-0.0194769442532691</v>
      </c>
      <c r="U15" s="212" t="inlineStr">
        <f aca="false">IF(ISERROR(AVERAGE(L15:S15)),"",AVERAGE(L15:S15))</f>
        <is>
          <t/>
        </is>
      </c>
    </row>
    <row collapsed="false" customFormat="false" customHeight="true" hidden="false" ht="17.25" outlineLevel="0" r="16">
      <c r="A16" s="208" t="s">
        <v>329</v>
      </c>
      <c r="B16" s="186" t="n">
        <v>84384</v>
      </c>
      <c r="C16" s="186" t="n">
        <v>88022</v>
      </c>
      <c r="D16" s="186" t="n">
        <v>89401</v>
      </c>
      <c r="E16" s="186" t="n">
        <v>85793</v>
      </c>
      <c r="F16" s="186" t="n">
        <v>93973</v>
      </c>
      <c r="G16" s="186" t="n">
        <v>105164</v>
      </c>
      <c r="H16" s="186" t="n">
        <v>107793</v>
      </c>
      <c r="I16" s="186" t="n">
        <v>106692</v>
      </c>
      <c r="J16" s="186" t="n">
        <v>106258</v>
      </c>
      <c r="K16" s="186" t="n">
        <v>104920</v>
      </c>
      <c r="L16" s="211" t="n">
        <f aca="false">IF(AND(ISNUMBER(B16),ISNUMBER(C16),B16&gt;0),C16/B16-1,"")</f>
        <v>0.0431124383769435</v>
      </c>
      <c r="M16" s="211" t="n">
        <f aca="false">IF(AND(ISNUMBER(C16),ISNUMBER(D16),C16&gt;0),D16/C16-1,"")</f>
        <v>0.0156665379109768</v>
      </c>
      <c r="N16" s="211" t="n">
        <f aca="false">IF(AND(ISNUMBER(D16),ISNUMBER(E16),D16&gt;0),E16/D16-1,"")</f>
        <v>-0.0403574904083847</v>
      </c>
      <c r="O16" s="211" t="n">
        <f aca="false">IF(AND(ISNUMBER(E16),ISNUMBER(F16),E16&gt;0),F16/E16-1,"")</f>
        <v>0.0953457741307566</v>
      </c>
      <c r="P16" s="211" t="n">
        <f aca="false">IF(AND(ISNUMBER(F16),ISNUMBER(G16),F16&gt;0),G16/F16-1,"")</f>
        <v>0.119087397443947</v>
      </c>
      <c r="Q16" s="211" t="n">
        <f aca="false">IF(AND(ISNUMBER(G16),ISNUMBER(H16),G16&gt;0),H16/G16-1,"")</f>
        <v>0.0249990491042562</v>
      </c>
      <c r="R16" s="211" t="n">
        <f aca="false">IF(AND(ISNUMBER(H16),ISNUMBER(I16),H16&gt;0),I16/H16-1,"")</f>
        <v>-0.0102140213186385</v>
      </c>
      <c r="S16" s="211" t="n">
        <f aca="false">IF(AND(ISNUMBER(I16),ISNUMBER(J16),I16&gt;0),J16/I16-1,"")</f>
        <v>-0.00406778390132345</v>
      </c>
      <c r="T16" s="211" t="n">
        <f aca="false">IF(AND(ISNUMBER(J16),ISNUMBER(K16),J16&gt;0),K16/J16-1,"")</f>
        <v>-0.0125919930734627</v>
      </c>
      <c r="U16" s="212" t="inlineStr">
        <f aca="false">IF(ISERROR(AVERAGE(L16:S16)),"",AVERAGE(L16:S16))</f>
        <is>
          <t/>
        </is>
      </c>
    </row>
    <row collapsed="false" customFormat="false" customHeight="true" hidden="false" ht="17.25" outlineLevel="0" r="17">
      <c r="A17" s="208" t="s">
        <v>330</v>
      </c>
      <c r="B17" s="186" t="n">
        <v>280</v>
      </c>
      <c r="C17" s="186" t="n">
        <v>287</v>
      </c>
      <c r="D17" s="186" t="n">
        <v>287</v>
      </c>
      <c r="E17" s="186" t="n">
        <v>276</v>
      </c>
      <c r="F17" s="186" t="n">
        <v>316</v>
      </c>
      <c r="G17" s="186" t="n">
        <v>294</v>
      </c>
      <c r="H17" s="186" t="n">
        <v>285</v>
      </c>
      <c r="I17" s="186" t="n">
        <v>299</v>
      </c>
      <c r="J17" s="186" t="n">
        <v>293</v>
      </c>
      <c r="K17" s="186" t="n">
        <v>293</v>
      </c>
      <c r="L17" s="211" t="n">
        <f aca="false">IF(AND(ISNUMBER(B17),ISNUMBER(C17),B17&gt;0),C17/B17-1,"")</f>
        <v>0.0249999999999999</v>
      </c>
      <c r="M17" s="211" t="n">
        <f aca="false">IF(AND(ISNUMBER(C17),ISNUMBER(D17),C17&gt;0),D17/C17-1,"")</f>
        <v>0</v>
      </c>
      <c r="N17" s="211" t="n">
        <f aca="false">IF(AND(ISNUMBER(D17),ISNUMBER(E17),D17&gt;0),E17/D17-1,"")</f>
        <v>-0.0383275261324042</v>
      </c>
      <c r="O17" s="211" t="n">
        <f aca="false">IF(AND(ISNUMBER(E17),ISNUMBER(F17),E17&gt;0),F17/E17-1,"")</f>
        <v>0.144927536231884</v>
      </c>
      <c r="P17" s="211" t="n">
        <f aca="false">IF(AND(ISNUMBER(F17),ISNUMBER(G17),F17&gt;0),G17/F17-1,"")</f>
        <v>-0.069620253164557</v>
      </c>
      <c r="Q17" s="211" t="n">
        <f aca="false">IF(AND(ISNUMBER(G17),ISNUMBER(H17),G17&gt;0),H17/G17-1,"")</f>
        <v>-0.0306122448979592</v>
      </c>
      <c r="R17" s="211" t="n">
        <f aca="false">IF(AND(ISNUMBER(H17),ISNUMBER(I17),H17&gt;0),I17/H17-1,"")</f>
        <v>0.0491228070175438</v>
      </c>
      <c r="S17" s="211" t="n">
        <f aca="false">IF(AND(ISNUMBER(I17),ISNUMBER(J17),I17&gt;0),J17/I17-1,"")</f>
        <v>-0.020066889632107</v>
      </c>
      <c r="T17" s="211" t="n">
        <f aca="false">IF(AND(ISNUMBER(J17),ISNUMBER(K17),J17&gt;0),K17/J17-1,"")</f>
        <v>0</v>
      </c>
      <c r="U17" s="212" t="inlineStr">
        <f aca="false">IF(ISERROR(AVERAGE(L17:S17)),"",AVERAGE(L17:S17))</f>
        <is>
          <t/>
        </is>
      </c>
    </row>
    <row collapsed="false" customFormat="false" customHeight="true" hidden="false" ht="17.25" outlineLevel="0" r="18">
      <c r="A18" s="208" t="s">
        <v>331</v>
      </c>
      <c r="B18" s="186" t="n">
        <v>102200</v>
      </c>
      <c r="C18" s="186" t="n">
        <v>104755</v>
      </c>
      <c r="D18" s="186" t="n">
        <v>104755</v>
      </c>
      <c r="E18" s="186" t="n">
        <v>100740</v>
      </c>
      <c r="F18" s="186" t="n">
        <v>115340</v>
      </c>
      <c r="G18" s="186" t="n">
        <v>107310</v>
      </c>
      <c r="H18" s="186" t="n">
        <v>104025</v>
      </c>
      <c r="I18" s="186" t="n">
        <v>109135</v>
      </c>
      <c r="J18" s="186" t="n">
        <v>106945</v>
      </c>
      <c r="K18" s="186" t="n">
        <v>106945</v>
      </c>
      <c r="L18" s="211" t="b">
        <f aca="false">IF(AND(ISNUMBER(#REF!),ISNUMBER(B18),#REF!&gt;0),B18/#REF!-1,""))))</f>
        <v>0</v>
      </c>
      <c r="M18" s="211" t="n">
        <f aca="false">IF(AND(ISNUMBER(B18),ISNUMBER(D18),B18&gt;0),D18/B18-1,"")</f>
        <v>0.0249999999999999</v>
      </c>
      <c r="N18" s="211" t="n">
        <f aca="false">IF(AND(ISNUMBER(D18),ISNUMBER(E18),D18&gt;0),E18/D18-1,"")</f>
        <v>-0.0383275261324042</v>
      </c>
      <c r="O18" s="211" t="n">
        <f aca="false">IF(AND(ISNUMBER(E18),ISNUMBER(F18),E18&gt;0),F18/E18-1,"")</f>
        <v>0.144927536231884</v>
      </c>
      <c r="P18" s="211" t="n">
        <f aca="false">IF(AND(ISNUMBER(F18),ISNUMBER(G18),F18&gt;0),G18/F18-1,"")</f>
        <v>-0.069620253164557</v>
      </c>
      <c r="Q18" s="211" t="n">
        <f aca="false">IF(AND(ISNUMBER(G18),ISNUMBER(H18),G18&gt;0),H18/G18-1,"")</f>
        <v>-0.0306122448979592</v>
      </c>
      <c r="R18" s="211" t="n">
        <f aca="false">IF(AND(ISNUMBER(H18),ISNUMBER(I18),H18&gt;0),I18/H18-1,"")</f>
        <v>0.0491228070175438</v>
      </c>
      <c r="S18" s="211" t="n">
        <f aca="false">IF(AND(ISNUMBER(I18),ISNUMBER(J18),I18&gt;0),J18/I18-1,"")</f>
        <v>-0.020066889632107</v>
      </c>
      <c r="T18" s="211" t="n">
        <f aca="false">IF(AND(ISNUMBER(J18),ISNUMBER(K18),J18&gt;0),K18/J18-1,"")</f>
        <v>0</v>
      </c>
      <c r="U18" s="212" t="inlineStr">
        <f aca="false">IF(ISERROR(AVERAGE(L18:S18)),"",AVERAGE(L18:S18))</f>
        <is>
          <t/>
        </is>
      </c>
    </row>
    <row collapsed="false" customFormat="false" customHeight="true" hidden="false" ht="17.25" outlineLevel="0" r="19">
      <c r="A19" s="208" t="s">
        <v>332</v>
      </c>
      <c r="B19" s="186" t="n">
        <v>83</v>
      </c>
      <c r="C19" s="186" t="n">
        <v>84</v>
      </c>
      <c r="D19" s="186" t="n">
        <v>85</v>
      </c>
      <c r="E19" s="186" t="n">
        <v>85</v>
      </c>
      <c r="F19" s="186" t="n">
        <v>84</v>
      </c>
      <c r="G19" s="186" t="n">
        <v>86</v>
      </c>
      <c r="H19" s="186" t="n">
        <v>90</v>
      </c>
      <c r="I19" s="186" t="n">
        <v>86</v>
      </c>
      <c r="J19" s="186" t="n">
        <v>85</v>
      </c>
      <c r="K19" s="186" t="n">
        <v>83</v>
      </c>
      <c r="L19" s="211" t="n">
        <f aca="false">IF(AND(ISNUMBER(B19),ISNUMBER(C19),B19&gt;0),C19/B19-1,"")</f>
        <v>0.0120481927710843</v>
      </c>
      <c r="M19" s="211" t="n">
        <f aca="false">IF(AND(ISNUMBER(C19),ISNUMBER(D19),C19&gt;0),D19/C19-1,"")</f>
        <v>0.0119047619047619</v>
      </c>
      <c r="N19" s="211" t="n">
        <f aca="false">IF(AND(ISNUMBER(D19),ISNUMBER(E19),D19&gt;0),E19/D19-1,"")</f>
        <v>0</v>
      </c>
      <c r="O19" s="211" t="n">
        <f aca="false">IF(AND(ISNUMBER(E19),ISNUMBER(F19),E19&gt;0),F19/E19-1,"")</f>
        <v>-0.0117647058823529</v>
      </c>
      <c r="P19" s="211" t="n">
        <f aca="false">IF(AND(ISNUMBER(F19),ISNUMBER(G19),F19&gt;0),G19/F19-1,"")</f>
        <v>0.0238095238095237</v>
      </c>
      <c r="Q19" s="211" t="n">
        <f aca="false">IF(AND(ISNUMBER(G19),ISNUMBER(H19),G19&gt;0),H19/G19-1,"")</f>
        <v>0.0465116279069768</v>
      </c>
      <c r="R19" s="211" t="n">
        <f aca="false">IF(AND(ISNUMBER(H19),ISNUMBER(I19),H19&gt;0),I19/H19-1,"")</f>
        <v>-0.0444444444444444</v>
      </c>
      <c r="S19" s="211" t="n">
        <f aca="false">IF(AND(ISNUMBER(I19),ISNUMBER(J19),I19&gt;0),J19/I19-1,"")</f>
        <v>-0.0116279069767442</v>
      </c>
      <c r="T19" s="211" t="n">
        <f aca="false">IF(AND(ISNUMBER(J19),ISNUMBER(K19),J19&gt;0),K19/J19-1,"")</f>
        <v>-0.0235294117647059</v>
      </c>
      <c r="U19" s="212" t="inlineStr">
        <f aca="false">IF(ISERROR(AVERAGE(L19:S19)),"",AVERAGE(L19:S19))</f>
        <is>
          <t/>
        </is>
      </c>
    </row>
    <row collapsed="false" customFormat="false" customHeight="true" hidden="false" ht="17.25" outlineLevel="0" r="20">
      <c r="A20" s="204" t="s">
        <v>174</v>
      </c>
      <c r="B20" s="216" t="n">
        <f aca="false">IF(ISERROR(B16/B15),"",B16/B15)</f>
        <v>5.73884657236126</v>
      </c>
      <c r="C20" s="216" t="n">
        <f aca="false">IF(ISERROR(C16/C15),"",C16/C15)</f>
        <v>5.82888550427124</v>
      </c>
      <c r="D20" s="216" t="n">
        <f aca="false">IF(ISERROR(D16/D15),"",D16/D15)</f>
        <v>5.88745472505762</v>
      </c>
      <c r="E20" s="216" t="n">
        <f aca="false">IF(ISERROR(E16/E15),"",E16/E15)</f>
        <v>6.0150739676085</v>
      </c>
      <c r="F20" s="216" t="n">
        <f aca="false">IF(ISERROR(F16/F15),"",F16/F15)</f>
        <v>5.45688403693165</v>
      </c>
      <c r="G20" s="216" t="n">
        <f aca="false">IF(ISERROR(G16/G15),"",G16/G15)</f>
        <v>6.65594936708861</v>
      </c>
      <c r="H20" s="216" t="n">
        <f aca="false">IF(ISERROR(H16/H15),"",H16/H15)</f>
        <v>7.07860520094563</v>
      </c>
      <c r="I20" s="216" t="n">
        <f aca="false">IF(ISERROR(I16/I15),"",I16/I15)</f>
        <v>7.13754348407814</v>
      </c>
      <c r="J20" s="216" t="n">
        <f aca="false">IF(ISERROR(J16/J15),"",J16/J15)</f>
        <v>7.3130075705437</v>
      </c>
      <c r="K20" s="216" t="n">
        <f aca="false">IF(ISERROR(K16/K15),"",K16/K15)</f>
        <v>7.36435740857724</v>
      </c>
      <c r="L20" s="217" t="n">
        <f aca="false">IF(AND(ISNUMBER(B20),ISNUMBER(C20),B20&gt;0),C20/B20-1,"")</f>
        <v>0.0156893777825693</v>
      </c>
      <c r="M20" s="217" t="n">
        <f aca="false">IF(AND(ISNUMBER(C20),ISNUMBER(D20),C20&gt;0),D20/C20-1,"")</f>
        <v>0.0100480993739651</v>
      </c>
      <c r="N20" s="217" t="n">
        <f aca="false">IF(AND(ISNUMBER(D20),ISNUMBER(E20),D20&gt;0),E20/D20-1,"")</f>
        <v>0.0216764711595512</v>
      </c>
      <c r="O20" s="217" t="n">
        <f aca="false">IF(AND(ISNUMBER(E20),ISNUMBER(F20),E20&gt;0),F20/E20-1,"")</f>
        <v>-0.0927985148117426</v>
      </c>
      <c r="P20" s="217" t="n">
        <f aca="false">IF(AND(ISNUMBER(F20),ISNUMBER(G20),F20&gt;0),G20/F20-1,"")</f>
        <v>0.219734434897608</v>
      </c>
      <c r="Q20" s="217" t="n">
        <f aca="false">IF(AND(ISNUMBER(G20),ISNUMBER(H20),G20&gt;0),H20/G20-1,"")</f>
        <v>0.0635004580934626</v>
      </c>
      <c r="R20" s="217" t="n">
        <f aca="false">IF(AND(ISNUMBER(H20),ISNUMBER(I20),H20&gt;0),I20/H20-1,"")</f>
        <v>0.0083262565801292</v>
      </c>
      <c r="S20" s="217" t="n">
        <f aca="false">IF(AND(ISNUMBER(I20),ISNUMBER(J20),I20&gt;0),J20/I20-1,"")</f>
        <v>0.0245832598928435</v>
      </c>
      <c r="T20" s="217" t="n">
        <f aca="false">IF(AND(ISNUMBER(J20),ISNUMBER(K20),J20&gt;0),K20/J20-1,"")</f>
        <v>0.00702171268636098</v>
      </c>
      <c r="U20" s="207" t="inlineStr">
        <f aca="false">IF(ISERROR(AVERAGE(L20:T20)),"",AVERAGE(L20:T20))</f>
        <is>
          <t/>
        </is>
      </c>
    </row>
    <row collapsed="false" customFormat="false" customHeight="true" hidden="false" ht="17.25" outlineLevel="0" r="21">
      <c r="A21" s="218" t="s">
        <v>333</v>
      </c>
      <c r="B21" s="219" t="n">
        <f aca="false">IF(ISERROR(B15/B17),"",B15/B17)</f>
        <v>52.5142857142857</v>
      </c>
      <c r="C21" s="219" t="n">
        <f aca="false">IF(ISERROR(C15/C17),"",C15/C17)</f>
        <v>52.616724738676</v>
      </c>
      <c r="D21" s="219" t="n">
        <f aca="false">IF(ISERROR(D15/D17),"",D15/D17)</f>
        <v>52.9094076655052</v>
      </c>
      <c r="E21" s="219" t="n">
        <f aca="false">IF(ISERROR(E15/E17),"",E15/E17)</f>
        <v>51.6775362318841</v>
      </c>
      <c r="F21" s="219" t="n">
        <f aca="false">IF(ISERROR(F15/F17),"",F15/F17)</f>
        <v>54.496835443038</v>
      </c>
      <c r="G21" s="219" t="n">
        <f aca="false">IF(ISERROR(G15/G17),"",G15/G17)</f>
        <v>53.7414965986395</v>
      </c>
      <c r="H21" s="219" t="n">
        <f aca="false">IF(ISERROR(H15/H17),"",H15/H17)</f>
        <v>53.4315789473684</v>
      </c>
      <c r="I21" s="219" t="n">
        <f aca="false">IF(ISERROR(I15/I17),"",I15/I17)</f>
        <v>49.9933110367893</v>
      </c>
      <c r="J21" s="219" t="n">
        <f aca="false">IF(ISERROR(J15/J17),"",J15/J17)</f>
        <v>49.5904436860068</v>
      </c>
      <c r="K21" s="219" t="n">
        <f aca="false">IF(ISERROR(K15/K17),"",K15/K17)</f>
        <v>48.6245733788396</v>
      </c>
      <c r="L21" s="220" t="n">
        <f aca="false">IF(AND(ISNUMBER(B21),ISNUMBER(C21),B21&gt;0),C21/B21-1,"")</f>
        <v>0.00195068871254533</v>
      </c>
      <c r="M21" s="220" t="n">
        <f aca="false">IF(AND(ISNUMBER(C21),ISNUMBER(D21),C21&gt;0),D21/C21-1,"")</f>
        <v>0.00556254552678648</v>
      </c>
      <c r="N21" s="220" t="n">
        <f aca="false">IF(AND(ISNUMBER(D21),ISNUMBER(E21),D21&gt;0),E21/D21-1,"")</f>
        <v>-0.0232826540302454</v>
      </c>
      <c r="O21" s="220" t="n">
        <f aca="false">IF(AND(ISNUMBER(E21),ISNUMBER(F21),E21&gt;0),F21/E21-1,"")</f>
        <v>0.0545556041701243</v>
      </c>
      <c r="P21" s="220" t="n">
        <f aca="false">IF(AND(ISNUMBER(F21),ISNUMBER(G21),F21&gt;0),G21/F21-1,"")</f>
        <v>-0.0138602331357024</v>
      </c>
      <c r="Q21" s="220" t="n">
        <f aca="false">IF(AND(ISNUMBER(G21),ISNUMBER(H21),G21&gt;0),H21/G21-1,"")</f>
        <v>-0.00576682211858759</v>
      </c>
      <c r="R21" s="220" t="n">
        <f aca="false">IF(AND(ISNUMBER(H21),ISNUMBER(I21),H21&gt;0),I21/H21-1,"")</f>
        <v>-0.0643489857180883</v>
      </c>
      <c r="S21" s="220" t="n">
        <f aca="false">IF(AND(ISNUMBER(I21),ISNUMBER(J21),I21&gt;0),J21/I21-1,"")</f>
        <v>-0.00805842506582544</v>
      </c>
      <c r="T21" s="220" t="n">
        <f aca="false">IF(AND(ISNUMBER(J21),ISNUMBER(K21),J21&gt;0),K21/J21-1,"")</f>
        <v>-0.0194769442532691</v>
      </c>
      <c r="U21" s="221" t="inlineStr">
        <f aca="false">IF(ISERROR(AVERAGE(L21:T21)),"",AVERAGE(L21:T21))</f>
        <is>
          <t/>
        </is>
      </c>
    </row>
  </sheetData>
  <printOptions headings="false" gridLines="false" gridLinesSet="true" horizontalCentered="false" verticalCentered="false"/>
  <pageMargins left="0.708333333333333" right="0.209722222222222" top="0.747916666666667" bottom="0.747916666666667" header="0.511805555555555" footer="0.511805555555555"/>
  <pageSetup blackAndWhite="false" cellComments="none" copies="1" draft="false" firstPageNumber="0" fitToHeight="1" fitToWidth="1" horizontalDpi="300" orientation="landscape" pageOrder="downThenOver" paperSize="77" scale="115" useFirstPageNumber="false" usePrinterDefaults="false" verticalDpi="300"/>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sheetPr filterMode="false">
    <pageSetUpPr fitToPage="false"/>
  </sheetPr>
  <dimension ref="B1:G60"/>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E57" activeCellId="0" pane="topLeft" sqref="E57"/>
    </sheetView>
  </sheetViews>
  <cols>
    <col collapsed="false" hidden="false" max="1" min="1" style="132" width="2.43921568627451"/>
    <col collapsed="false" hidden="false" max="2" min="2" style="222" width="7.45882352941177"/>
    <col collapsed="false" hidden="false" max="3" min="3" style="132" width="40.5960784313726"/>
    <col collapsed="false" hidden="false" max="4" min="4" style="132" width="10.0392156862745"/>
    <col collapsed="false" hidden="false" max="5" min="5" style="132" width="11.4745098039216"/>
    <col collapsed="false" hidden="false" max="6" min="6" style="132" width="10.0392156862745"/>
    <col collapsed="false" hidden="false" max="257" min="7" style="132" width="11.4745098039216"/>
  </cols>
  <sheetData>
    <row collapsed="false" customFormat="false" customHeight="false" hidden="false" ht="15.2" outlineLevel="0" r="1">
      <c r="B1" s="223" t="s">
        <v>334</v>
      </c>
    </row>
    <row collapsed="false" customFormat="false" customHeight="false" hidden="false" ht="15.2" outlineLevel="0" r="2">
      <c r="B2" s="101" t="s">
        <v>335</v>
      </c>
    </row>
    <row collapsed="false" customFormat="false" customHeight="true" hidden="false" ht="45" outlineLevel="0" r="4">
      <c r="B4" s="224" t="s">
        <v>297</v>
      </c>
      <c r="C4" s="224"/>
      <c r="D4" s="225" t="s">
        <v>336</v>
      </c>
      <c r="E4" s="226" t="s">
        <v>337</v>
      </c>
      <c r="F4" s="227" t="s">
        <v>338</v>
      </c>
      <c r="G4" s="228" t="s">
        <v>339</v>
      </c>
    </row>
    <row collapsed="false" customFormat="false" customHeight="false" hidden="false" ht="14" outlineLevel="0" r="5">
      <c r="B5" s="229" t="n">
        <v>1</v>
      </c>
      <c r="C5" s="230" t="s">
        <v>340</v>
      </c>
      <c r="D5" s="230"/>
      <c r="E5" s="230"/>
      <c r="F5" s="230"/>
      <c r="G5" s="231"/>
    </row>
    <row collapsed="false" customFormat="false" customHeight="false" hidden="false" ht="12.8" outlineLevel="0" r="6">
      <c r="B6" s="232" t="n">
        <v>1.1</v>
      </c>
      <c r="C6" s="233" t="s">
        <v>341</v>
      </c>
      <c r="D6" s="234" t="n">
        <f aca="false">SUM(D7,D8,D16)</f>
        <v>217074</v>
      </c>
      <c r="E6" s="235"/>
      <c r="F6" s="234" t="n">
        <f aca="false">SUM(F7,F8,F16)</f>
        <v>230989</v>
      </c>
      <c r="G6" s="236" t="b">
        <f aca="false">IF(ISERROR(F6/#REF!),"",F6/#REF!)))</f>
        <v>1</v>
      </c>
    </row>
    <row collapsed="false" customFormat="false" customHeight="false" hidden="false" ht="12.8" outlineLevel="0" r="7">
      <c r="B7" s="237" t="s">
        <v>342</v>
      </c>
      <c r="C7" s="238" t="s">
        <v>343</v>
      </c>
      <c r="D7" s="209" t="n">
        <v>0</v>
      </c>
      <c r="E7" s="239"/>
      <c r="F7" s="209" t="n">
        <v>0</v>
      </c>
      <c r="G7" s="240" t="b">
        <f aca="false">IF(ISERROR(F7/#REF!),"",F7/#REF!)))</f>
        <v>1</v>
      </c>
    </row>
    <row collapsed="false" customFormat="false" customHeight="false" hidden="false" ht="12.8" outlineLevel="0" r="8">
      <c r="B8" s="237" t="s">
        <v>344</v>
      </c>
      <c r="C8" s="238" t="s">
        <v>345</v>
      </c>
      <c r="D8" s="241" t="n">
        <f aca="false">SUM(D9,D12)</f>
        <v>195196</v>
      </c>
      <c r="E8" s="239"/>
      <c r="F8" s="241" t="n">
        <f aca="false">SUM(F9,F12)</f>
        <v>207721</v>
      </c>
      <c r="G8" s="240" t="b">
        <f aca="false">IF(ISERROR(F8/#REF!),"",F8/#REF!)))</f>
        <v>1</v>
      </c>
    </row>
    <row collapsed="false" customFormat="false" customHeight="false" hidden="false" ht="12.8" outlineLevel="0" r="9">
      <c r="B9" s="242" t="s">
        <v>346</v>
      </c>
      <c r="C9" s="243" t="s">
        <v>347</v>
      </c>
      <c r="D9" s="244" t="n">
        <f aca="false">SUM(D10:D11)</f>
        <v>0</v>
      </c>
      <c r="E9" s="245" t="n">
        <f aca="false">SUM(E10:E11)</f>
        <v>0</v>
      </c>
      <c r="F9" s="244" t="n">
        <f aca="false">SUM(F10:F11)</f>
        <v>0</v>
      </c>
      <c r="G9" s="246" t="n">
        <f aca="false">SUM(G10:G11)</f>
        <v>0</v>
      </c>
    </row>
    <row collapsed="false" customFormat="false" customHeight="false" hidden="false" ht="12.8" outlineLevel="0" r="10">
      <c r="B10" s="247" t="s">
        <v>348</v>
      </c>
      <c r="C10" s="248" t="s">
        <v>349</v>
      </c>
      <c r="D10" s="209" t="s">
        <v>350</v>
      </c>
      <c r="E10" s="249" t="str">
        <f aca="false">IF(ISERROR(D10/$D$9),"",D10/$D$9)</f>
        <v/>
      </c>
      <c r="F10" s="209" t="s">
        <v>350</v>
      </c>
      <c r="G10" s="250" t="str">
        <f aca="false">IF(ISERROR(F10/$F$9),"",F10/$F$9)</f>
        <v/>
      </c>
    </row>
    <row collapsed="false" customFormat="false" customHeight="false" hidden="false" ht="12.8" outlineLevel="0" r="11">
      <c r="B11" s="247" t="s">
        <v>351</v>
      </c>
      <c r="C11" s="248" t="s">
        <v>352</v>
      </c>
      <c r="D11" s="209" t="s">
        <v>350</v>
      </c>
      <c r="E11" s="249" t="str">
        <f aca="false">IF(ISERROR(D11/$D$9),"",D11/$D$9)</f>
        <v/>
      </c>
      <c r="F11" s="209" t="s">
        <v>350</v>
      </c>
      <c r="G11" s="250" t="str">
        <f aca="false">IF(ISERROR(F11/$F$9),"",F11/$F$9)</f>
        <v/>
      </c>
    </row>
    <row collapsed="false" customFormat="false" customHeight="false" hidden="false" ht="12.8" outlineLevel="0" r="12">
      <c r="B12" s="242" t="s">
        <v>353</v>
      </c>
      <c r="C12" s="243" t="s">
        <v>354</v>
      </c>
      <c r="D12" s="244" t="n">
        <f aca="false">SUM(D13:D15)</f>
        <v>195196</v>
      </c>
      <c r="E12" s="245" t="inlineStr">
        <f aca="false">SUM(E13:E15)</f>
        <is>
          <t/>
        </is>
      </c>
      <c r="F12" s="244" t="n">
        <f aca="false">SUM(F13:F15)</f>
        <v>207721</v>
      </c>
      <c r="G12" s="246" t="inlineStr">
        <f aca="false">SUM(G13:G15)</f>
        <is>
          <t/>
        </is>
      </c>
    </row>
    <row collapsed="false" customFormat="false" customHeight="false" hidden="false" ht="12.8" outlineLevel="0" r="13">
      <c r="B13" s="247" t="s">
        <v>355</v>
      </c>
      <c r="C13" s="248" t="s">
        <v>356</v>
      </c>
      <c r="D13" s="209" t="s">
        <v>350</v>
      </c>
      <c r="E13" s="249" t="str">
        <f aca="false">IF(ISERROR(D13/$D$12),"",D13/$D$12)</f>
        <v/>
      </c>
      <c r="F13" s="209" t="s">
        <v>350</v>
      </c>
      <c r="G13" s="250" t="str">
        <f aca="false">IF(ISERROR(F13/$F$12),"",F13/$F$12)</f>
        <v/>
      </c>
    </row>
    <row collapsed="false" customFormat="false" customHeight="false" hidden="false" ht="12.8" outlineLevel="0" r="14">
      <c r="B14" s="247" t="s">
        <v>357</v>
      </c>
      <c r="C14" s="248" t="s">
        <v>358</v>
      </c>
      <c r="D14" s="209" t="n">
        <v>144296</v>
      </c>
      <c r="E14" s="249" t="n">
        <f aca="false">IF(ISERROR(D14/$D$12),"",D14/$D$12)</f>
        <v>0.73923645976352</v>
      </c>
      <c r="F14" s="209" t="n">
        <v>152087</v>
      </c>
      <c r="G14" s="250" t="n">
        <f aca="false">IF(ISERROR(F14/$F$12),"",F14/$F$12)</f>
        <v>0.732169592867356</v>
      </c>
    </row>
    <row collapsed="false" customFormat="false" customHeight="false" hidden="false" ht="12.8" outlineLevel="0" r="15">
      <c r="B15" s="247" t="s">
        <v>359</v>
      </c>
      <c r="C15" s="248" t="s">
        <v>360</v>
      </c>
      <c r="D15" s="209" t="n">
        <v>50900</v>
      </c>
      <c r="E15" s="249" t="n">
        <f aca="false">IF(ISERROR(D15/$D$12),"",D15/$D$12)</f>
        <v>0.26076354023648</v>
      </c>
      <c r="F15" s="209" t="n">
        <v>55634</v>
      </c>
      <c r="G15" s="250" t="n">
        <f aca="false">IF(ISERROR(F15/$F$12),"",F15/$F$12)</f>
        <v>0.267830407132644</v>
      </c>
    </row>
    <row collapsed="false" customFormat="false" customHeight="false" hidden="false" ht="12.8" outlineLevel="0" r="16">
      <c r="B16" s="237" t="s">
        <v>361</v>
      </c>
      <c r="C16" s="238" t="s">
        <v>362</v>
      </c>
      <c r="D16" s="241" t="n">
        <f aca="false">SUM(D17,D18)</f>
        <v>21878</v>
      </c>
      <c r="E16" s="251" t="inlineStr">
        <f aca="false">SUM(E17:E18)</f>
        <is>
          <t/>
        </is>
      </c>
      <c r="F16" s="241" t="n">
        <f aca="false">SUM(F17,F18)</f>
        <v>23268</v>
      </c>
      <c r="G16" s="252" t="inlineStr">
        <f aca="false">SUM(G17:G18)</f>
        <is>
          <t/>
        </is>
      </c>
    </row>
    <row collapsed="false" customFormat="false" customHeight="false" hidden="false" ht="12.8" outlineLevel="0" r="17">
      <c r="B17" s="247" t="s">
        <v>363</v>
      </c>
      <c r="C17" s="248" t="s">
        <v>364</v>
      </c>
      <c r="D17" s="209" t="n">
        <v>8096</v>
      </c>
      <c r="E17" s="249" t="n">
        <f aca="false">IF(ISERROR(D17/$D$16),"",D17/$D$16)</f>
        <v>0.370052107139592</v>
      </c>
      <c r="F17" s="209" t="n">
        <v>9804</v>
      </c>
      <c r="G17" s="250" t="n">
        <f aca="false">IF(ISERROR(F17/$F$16),"",F17/$F$16)</f>
        <v>0.42135121196493</v>
      </c>
    </row>
    <row collapsed="false" customFormat="false" customHeight="false" hidden="false" ht="12.8" outlineLevel="0" r="18">
      <c r="B18" s="247" t="s">
        <v>365</v>
      </c>
      <c r="C18" s="248" t="s">
        <v>366</v>
      </c>
      <c r="D18" s="209" t="n">
        <v>13782</v>
      </c>
      <c r="E18" s="249" t="n">
        <f aca="false">IF(ISERROR(D18/$D$16),"",D18/$D$16)</f>
        <v>0.629947892860408</v>
      </c>
      <c r="F18" s="209" t="n">
        <v>13464</v>
      </c>
      <c r="G18" s="250" t="n">
        <f aca="false">IF(ISERROR(F18/$F$16),"",F18/$F$16)</f>
        <v>0.57864878803507</v>
      </c>
    </row>
    <row collapsed="false" customFormat="false" customHeight="false" hidden="false" ht="12.8" outlineLevel="0" r="19">
      <c r="B19" s="232" t="n">
        <v>1.2</v>
      </c>
      <c r="C19" s="233" t="s">
        <v>367</v>
      </c>
      <c r="D19" s="253" t="n">
        <f aca="false">SUM(D20,D21)</f>
        <v>16396</v>
      </c>
      <c r="E19" s="235" t="inlineStr">
        <f aca="false">SUM(E20:E21)</f>
        <is>
          <t/>
        </is>
      </c>
      <c r="F19" s="253" t="n">
        <f aca="false">SUM(F20,F21)</f>
        <v>17608</v>
      </c>
      <c r="G19" s="236" t="inlineStr">
        <f aca="false">SUM(G20:G21)</f>
        <is>
          <t/>
        </is>
      </c>
    </row>
    <row collapsed="false" customFormat="false" customHeight="false" hidden="false" ht="12.8" outlineLevel="0" r="20">
      <c r="B20" s="254" t="s">
        <v>368</v>
      </c>
      <c r="C20" s="255" t="s">
        <v>369</v>
      </c>
      <c r="D20" s="209" t="n">
        <v>14464</v>
      </c>
      <c r="E20" s="249" t="n">
        <f aca="false">IF(ISERROR(D20/$D$19),"",D20/$D$19)</f>
        <v>0.882166382044401</v>
      </c>
      <c r="F20" s="209" t="n">
        <v>16487</v>
      </c>
      <c r="G20" s="250" t="n">
        <f aca="false">IF(ISERROR(F20/$F$19),"",F20/$F$19)</f>
        <v>0.93633575647433</v>
      </c>
    </row>
    <row collapsed="false" customFormat="false" customHeight="false" hidden="false" ht="12.8" outlineLevel="0" r="21">
      <c r="B21" s="254" t="s">
        <v>370</v>
      </c>
      <c r="C21" s="255" t="s">
        <v>371</v>
      </c>
      <c r="D21" s="209" t="n">
        <v>1932</v>
      </c>
      <c r="E21" s="249" t="n">
        <f aca="false">IF(ISERROR(D21/$D$19),"",D21/$D$19)</f>
        <v>0.117833617955599</v>
      </c>
      <c r="F21" s="209" t="n">
        <v>1121</v>
      </c>
      <c r="G21" s="250" t="n">
        <f aca="false">IF(ISERROR(F21/$F$19),"",F21/$F$19)</f>
        <v>0.0636642435256702</v>
      </c>
    </row>
    <row collapsed="false" customFormat="false" customHeight="false" hidden="false" ht="12.8" outlineLevel="0" r="22">
      <c r="B22" s="232" t="n">
        <v>1.3</v>
      </c>
      <c r="C22" s="233" t="s">
        <v>372</v>
      </c>
      <c r="D22" s="256" t="n">
        <v>10679</v>
      </c>
      <c r="E22" s="257"/>
      <c r="F22" s="256" t="n">
        <v>10153</v>
      </c>
      <c r="G22" s="258"/>
    </row>
    <row collapsed="false" customFormat="false" customHeight="false" hidden="false" ht="12.8" outlineLevel="0" r="23">
      <c r="B23" s="232" t="n">
        <v>1.4</v>
      </c>
      <c r="C23" s="233" t="s">
        <v>373</v>
      </c>
      <c r="D23" s="259" t="n">
        <f aca="false">SUM(D24:D31)</f>
        <v>54639</v>
      </c>
      <c r="E23" s="235" t="inlineStr">
        <f aca="false">SUM(E24:E31)</f>
        <is>
          <t/>
        </is>
      </c>
      <c r="F23" s="259" t="n">
        <f aca="false">SUM(F24:F31)</f>
        <v>49559</v>
      </c>
      <c r="G23" s="236" t="inlineStr">
        <f aca="false">SUM(G24:G31)</f>
        <is>
          <t/>
        </is>
      </c>
    </row>
    <row collapsed="false" customFormat="false" customHeight="false" hidden="false" ht="12.8" outlineLevel="0" r="24">
      <c r="B24" s="254" t="s">
        <v>374</v>
      </c>
      <c r="C24" s="255" t="s">
        <v>375</v>
      </c>
      <c r="D24" s="260" t="n">
        <v>4217</v>
      </c>
      <c r="E24" s="249" t="n">
        <f aca="false">IF(ISERROR(D24/$D$23),"",D24/$D$23)</f>
        <v>0.0771793041600322</v>
      </c>
      <c r="F24" s="260" t="n">
        <v>4707</v>
      </c>
      <c r="G24" s="250" t="n">
        <f aca="false">IF(ISERROR(F24/$F$23),"",F24/$F$23)</f>
        <v>0.0949777033434896</v>
      </c>
    </row>
    <row collapsed="false" customFormat="false" customHeight="false" hidden="false" ht="12.8" outlineLevel="0" r="25">
      <c r="B25" s="254" t="s">
        <v>376</v>
      </c>
      <c r="C25" s="255" t="s">
        <v>377</v>
      </c>
      <c r="D25" s="260" t="n">
        <v>2940</v>
      </c>
      <c r="E25" s="249" t="n">
        <f aca="false">IF(ISERROR(D25/$D$23),"",D25/$D$23)</f>
        <v>0.0538077197606106</v>
      </c>
      <c r="F25" s="260" t="n">
        <v>3385</v>
      </c>
      <c r="G25" s="250" t="n">
        <f aca="false">IF(ISERROR(F25/$F$23),"",F25/$F$23)</f>
        <v>0.068302427409754</v>
      </c>
    </row>
    <row collapsed="false" customFormat="false" customHeight="false" hidden="false" ht="12.8" outlineLevel="0" r="26">
      <c r="B26" s="254" t="s">
        <v>378</v>
      </c>
      <c r="C26" s="255" t="s">
        <v>379</v>
      </c>
      <c r="D26" s="260" t="n">
        <v>26168</v>
      </c>
      <c r="E26" s="249" t="n">
        <f aca="false">IF(ISERROR(D26/$D$23),"",D26/$D$23)</f>
        <v>0.478925309760428</v>
      </c>
      <c r="F26" s="260" t="n">
        <v>19106</v>
      </c>
      <c r="G26" s="250" t="n">
        <f aca="false">IF(ISERROR(F26/$F$23),"",F26/$F$23)</f>
        <v>0.385520288948526</v>
      </c>
    </row>
    <row collapsed="false" customFormat="false" customHeight="false" hidden="false" ht="12.8" outlineLevel="0" r="27">
      <c r="B27" s="254" t="s">
        <v>380</v>
      </c>
      <c r="C27" s="255" t="s">
        <v>381</v>
      </c>
      <c r="D27" s="260" t="n">
        <v>397</v>
      </c>
      <c r="E27" s="249" t="n">
        <f aca="false">IF(ISERROR(D27/$D$23),"",D27/$D$23)</f>
        <v>0.0072658723622321</v>
      </c>
      <c r="F27" s="260" t="n">
        <v>394</v>
      </c>
      <c r="G27" s="250" t="n">
        <f aca="false">IF(ISERROR(F27/$F$23),"",F27/$F$23)</f>
        <v>0.00795012005891967</v>
      </c>
    </row>
    <row collapsed="false" customFormat="false" customHeight="false" hidden="false" ht="12.8" outlineLevel="0" r="28">
      <c r="B28" s="254" t="s">
        <v>382</v>
      </c>
      <c r="C28" s="255" t="s">
        <v>383</v>
      </c>
      <c r="D28" s="260" t="n">
        <v>8576</v>
      </c>
      <c r="E28" s="249" t="n">
        <f aca="false">IF(ISERROR(D28/$D$23),"",D28/$D$23)</f>
        <v>0.156957484580611</v>
      </c>
      <c r="F28" s="260" t="n">
        <v>9665</v>
      </c>
      <c r="G28" s="250" t="n">
        <f aca="false">IF(ISERROR(F28/$F$23),"",F28/$F$23)</f>
        <v>0.195020077079844</v>
      </c>
    </row>
    <row collapsed="false" customFormat="false" customHeight="false" hidden="false" ht="12.8" outlineLevel="0" r="29">
      <c r="B29" s="254" t="s">
        <v>384</v>
      </c>
      <c r="C29" s="255" t="s">
        <v>385</v>
      </c>
      <c r="D29" s="260" t="n">
        <v>2120</v>
      </c>
      <c r="E29" s="249" t="n">
        <f aca="false">IF(ISERROR(D29/$D$23),"",D29/$D$23)</f>
        <v>0.0388001244532294</v>
      </c>
      <c r="F29" s="260" t="n">
        <v>2463</v>
      </c>
      <c r="G29" s="250" t="n">
        <f aca="false">IF(ISERROR(F29/$F$23),"",F29/$F$23)</f>
        <v>0.0496983393530943</v>
      </c>
    </row>
    <row collapsed="false" customFormat="false" customHeight="false" hidden="false" ht="12.8" outlineLevel="0" r="30">
      <c r="B30" s="254" t="s">
        <v>386</v>
      </c>
      <c r="C30" s="255" t="s">
        <v>387</v>
      </c>
      <c r="D30" s="260" t="n">
        <v>7778</v>
      </c>
      <c r="E30" s="249" t="n">
        <f aca="false">IF(ISERROR(D30/$D$23),"",D30/$D$23)</f>
        <v>0.142352532074159</v>
      </c>
      <c r="F30" s="260" t="n">
        <v>7850</v>
      </c>
      <c r="G30" s="250" t="n">
        <f aca="false">IF(ISERROR(F30/$F$23),"",F30/$F$23)</f>
        <v>0.158397062087613</v>
      </c>
    </row>
    <row collapsed="false" customFormat="false" customHeight="false" hidden="false" ht="12.8" outlineLevel="0" r="31">
      <c r="B31" s="254" t="s">
        <v>388</v>
      </c>
      <c r="C31" s="255" t="s">
        <v>389</v>
      </c>
      <c r="D31" s="260" t="n">
        <v>2443</v>
      </c>
      <c r="E31" s="249" t="n">
        <f aca="false">IF(ISERROR(D31/$D$23),"",D31/$D$23)</f>
        <v>0.0447116528486978</v>
      </c>
      <c r="F31" s="260" t="n">
        <v>1989</v>
      </c>
      <c r="G31" s="250" t="n">
        <f aca="false">IF(ISERROR(F31/$F$23),"",F31/$F$23)</f>
        <v>0.0401339817187595</v>
      </c>
    </row>
    <row collapsed="false" customFormat="false" customHeight="false" hidden="false" ht="14" outlineLevel="0" r="32">
      <c r="B32" s="229" t="n">
        <v>2</v>
      </c>
      <c r="C32" s="230" t="s">
        <v>390</v>
      </c>
      <c r="D32" s="230"/>
      <c r="E32" s="230"/>
      <c r="F32" s="230"/>
      <c r="G32" s="231"/>
    </row>
    <row collapsed="false" customFormat="false" customHeight="false" hidden="false" ht="12.8" outlineLevel="0" r="33">
      <c r="B33" s="232" t="n">
        <v>2.1</v>
      </c>
      <c r="C33" s="233" t="s">
        <v>328</v>
      </c>
      <c r="D33" s="234" t="n">
        <f aca="false">SUM(D34,D41,D48)</f>
        <v>14530</v>
      </c>
      <c r="E33" s="257"/>
      <c r="F33" s="234" t="n">
        <f aca="false">SUM(F34,F41,F48)</f>
        <v>14427</v>
      </c>
      <c r="G33" s="258"/>
    </row>
    <row collapsed="false" customFormat="false" customHeight="false" hidden="false" ht="12.8" outlineLevel="0" r="34">
      <c r="B34" s="237" t="s">
        <v>391</v>
      </c>
      <c r="C34" s="238" t="s">
        <v>392</v>
      </c>
      <c r="D34" s="241" t="n">
        <f aca="false">SUM(D35:D40)</f>
        <v>6282</v>
      </c>
      <c r="E34" s="251" t="inlineStr">
        <f aca="false">SUM(E35:E40)</f>
        <is>
          <t/>
        </is>
      </c>
      <c r="F34" s="241" t="n">
        <f aca="false">SUM(F35:F40)</f>
        <v>6088</v>
      </c>
      <c r="G34" s="252" t="inlineStr">
        <f aca="false">SUM(G35:G40)</f>
        <is>
          <t/>
        </is>
      </c>
    </row>
    <row collapsed="false" customFormat="false" customHeight="false" hidden="false" ht="12.8" outlineLevel="0" r="35">
      <c r="B35" s="242" t="s">
        <v>393</v>
      </c>
      <c r="C35" s="255" t="s">
        <v>394</v>
      </c>
      <c r="D35" s="215" t="n">
        <v>1242</v>
      </c>
      <c r="E35" s="249" t="n">
        <f aca="false">IF(ISERROR(D35/$D$34),"",D35/$D$34)</f>
        <v>0.197707736389685</v>
      </c>
      <c r="F35" s="215" t="n">
        <v>1106</v>
      </c>
      <c r="G35" s="250" t="n">
        <f aca="false">IF(ISERROR(F35/$F$34),"",F35/$F$34)</f>
        <v>0.181668856767411</v>
      </c>
    </row>
    <row collapsed="false" customFormat="false" customHeight="false" hidden="false" ht="12.8" outlineLevel="0" r="36">
      <c r="B36" s="242" t="s">
        <v>395</v>
      </c>
      <c r="C36" s="255" t="s">
        <v>396</v>
      </c>
      <c r="D36" s="215" t="n">
        <v>2557</v>
      </c>
      <c r="E36" s="249" t="n">
        <f aca="false">IF(ISERROR(D36/$D$34),"",D36/$D$34)</f>
        <v>0.407035975803884</v>
      </c>
      <c r="F36" s="215" t="n">
        <v>2282</v>
      </c>
      <c r="G36" s="250" t="n">
        <f aca="false">IF(ISERROR(F36/$F$34),"",F36/$F$34)</f>
        <v>0.374835742444152</v>
      </c>
    </row>
    <row collapsed="false" customFormat="false" customHeight="false" hidden="false" ht="12.8" outlineLevel="0" r="37">
      <c r="B37" s="242" t="s">
        <v>397</v>
      </c>
      <c r="C37" s="255" t="s">
        <v>398</v>
      </c>
      <c r="D37" s="215" t="n">
        <v>380</v>
      </c>
      <c r="E37" s="249" t="n">
        <f aca="false">IF(ISERROR(D37/$D$34),"",D37/$D$34)</f>
        <v>0.0604902897166507</v>
      </c>
      <c r="F37" s="215" t="n">
        <v>323</v>
      </c>
      <c r="G37" s="250" t="n">
        <f aca="false">IF(ISERROR(F37/$F$34),"",F37/$F$34)</f>
        <v>0.0530551905387648</v>
      </c>
    </row>
    <row collapsed="false" customFormat="false" customHeight="false" hidden="false" ht="12.8" outlineLevel="0" r="38">
      <c r="B38" s="242" t="s">
        <v>399</v>
      </c>
      <c r="C38" s="255" t="s">
        <v>400</v>
      </c>
      <c r="D38" s="215" t="n">
        <v>848</v>
      </c>
      <c r="E38" s="249" t="n">
        <f aca="false">IF(ISERROR(D38/$D$34),"",D38/$D$34)</f>
        <v>0.134988857051894</v>
      </c>
      <c r="F38" s="215" t="n">
        <v>958</v>
      </c>
      <c r="G38" s="250" t="n">
        <f aca="false">IF(ISERROR(F38/$F$34),"",F38/$F$34)</f>
        <v>0.157358738501971</v>
      </c>
    </row>
    <row collapsed="false" customFormat="false" customHeight="false" hidden="false" ht="12.8" outlineLevel="0" r="39">
      <c r="B39" s="242" t="s">
        <v>401</v>
      </c>
      <c r="C39" s="255" t="s">
        <v>402</v>
      </c>
      <c r="D39" s="215" t="n">
        <v>635</v>
      </c>
      <c r="E39" s="249" t="n">
        <f aca="false">IF(ISERROR(D39/$D$34),"",D39/$D$34)</f>
        <v>0.101082457815982</v>
      </c>
      <c r="F39" s="215" t="n">
        <v>708</v>
      </c>
      <c r="G39" s="250" t="n">
        <f aca="false">IF(ISERROR(F39/$F$34),"",F39/$F$34)</f>
        <v>0.116294349540079</v>
      </c>
    </row>
    <row collapsed="false" customFormat="false" customHeight="false" hidden="false" ht="12.8" outlineLevel="0" r="40">
      <c r="B40" s="242" t="s">
        <v>403</v>
      </c>
      <c r="C40" s="255" t="s">
        <v>356</v>
      </c>
      <c r="D40" s="215" t="n">
        <v>620</v>
      </c>
      <c r="E40" s="249" t="n">
        <f aca="false">IF(ISERROR(D40/$D$34),"",D40/$D$34)</f>
        <v>0.0986946832219038</v>
      </c>
      <c r="F40" s="215" t="n">
        <v>711</v>
      </c>
      <c r="G40" s="250" t="n">
        <f aca="false">IF(ISERROR(F40/$F$34),"",F40/$F$34)</f>
        <v>0.116787122207622</v>
      </c>
    </row>
    <row collapsed="false" customFormat="false" customHeight="false" hidden="false" ht="12.8" outlineLevel="0" r="41">
      <c r="B41" s="237" t="s">
        <v>404</v>
      </c>
      <c r="C41" s="238" t="s">
        <v>405</v>
      </c>
      <c r="D41" s="241" t="n">
        <f aca="false">SUM(D42:D47)</f>
        <v>7178</v>
      </c>
      <c r="E41" s="251" t="inlineStr">
        <f aca="false">SUM(E42:E47)</f>
        <is>
          <t/>
        </is>
      </c>
      <c r="F41" s="241" t="n">
        <f aca="false">SUM(F42:F47)</f>
        <v>7266</v>
      </c>
      <c r="G41" s="252" t="inlineStr">
        <f aca="false">SUM(G42:G47)</f>
        <is>
          <t/>
        </is>
      </c>
    </row>
    <row collapsed="false" customFormat="false" customHeight="false" hidden="false" ht="12.8" outlineLevel="0" r="42">
      <c r="B42" s="242" t="s">
        <v>406</v>
      </c>
      <c r="C42" s="255" t="s">
        <v>407</v>
      </c>
      <c r="D42" s="215" t="n">
        <v>2291</v>
      </c>
      <c r="E42" s="249" t="n">
        <f aca="false">IF(ISERROR(D42/$D$41),"",D42/$D$41)</f>
        <v>0.319169685149067</v>
      </c>
      <c r="F42" s="215" t="n">
        <v>2410</v>
      </c>
      <c r="G42" s="250" t="n">
        <f aca="false">IF(ISERROR(F42/$F$41),"",F42/$F$41)</f>
        <v>0.331681805670245</v>
      </c>
    </row>
    <row collapsed="false" customFormat="false" customHeight="false" hidden="false" ht="12.8" outlineLevel="0" r="43">
      <c r="B43" s="242" t="s">
        <v>408</v>
      </c>
      <c r="C43" s="255" t="s">
        <v>409</v>
      </c>
      <c r="D43" s="215" t="n">
        <v>971</v>
      </c>
      <c r="E43" s="249" t="n">
        <f aca="false">IF(ISERROR(D43/$D$41),"",D43/$D$41)</f>
        <v>0.135274449707439</v>
      </c>
      <c r="F43" s="215" t="n">
        <v>962</v>
      </c>
      <c r="G43" s="250" t="n">
        <f aca="false">IF(ISERROR(F43/$F$41),"",F43/$F$41)</f>
        <v>0.132397467657583</v>
      </c>
    </row>
    <row collapsed="false" customFormat="false" customHeight="false" hidden="false" ht="12.8" outlineLevel="0" r="44">
      <c r="B44" s="242" t="s">
        <v>410</v>
      </c>
      <c r="C44" s="255" t="s">
        <v>411</v>
      </c>
      <c r="D44" s="215" t="n">
        <v>1213</v>
      </c>
      <c r="E44" s="249" t="n">
        <f aca="false">IF(ISERROR(D44/$D$41),"",D44/$D$41)</f>
        <v>0.168988576205071</v>
      </c>
      <c r="F44" s="215" t="n">
        <v>1152</v>
      </c>
      <c r="G44" s="250" t="n">
        <f aca="false">IF(ISERROR(F44/$F$41),"",F44/$F$41)</f>
        <v>0.158546655656482</v>
      </c>
    </row>
    <row collapsed="false" customFormat="false" customHeight="false" hidden="false" ht="12.8" outlineLevel="0" r="45">
      <c r="B45" s="242" t="s">
        <v>412</v>
      </c>
      <c r="C45" s="255" t="s">
        <v>413</v>
      </c>
      <c r="D45" s="215" t="n">
        <v>936</v>
      </c>
      <c r="E45" s="249" t="n">
        <f aca="false">IF(ISERROR(D45/$D$41),"",D45/$D$41)</f>
        <v>0.13039843967679</v>
      </c>
      <c r="F45" s="215" t="n">
        <v>905</v>
      </c>
      <c r="G45" s="250" t="n">
        <f aca="false">IF(ISERROR(F45/$F$41),"",F45/$F$41)</f>
        <v>0.124552711257914</v>
      </c>
    </row>
    <row collapsed="false" customFormat="false" customHeight="false" hidden="false" ht="12.8" outlineLevel="0" r="46">
      <c r="B46" s="242" t="s">
        <v>414</v>
      </c>
      <c r="C46" s="255" t="s">
        <v>415</v>
      </c>
      <c r="D46" s="215" t="n">
        <v>989</v>
      </c>
      <c r="E46" s="249" t="n">
        <f aca="false">IF(ISERROR(D46/$D$41),"",D46/$D$41)</f>
        <v>0.137782112008916</v>
      </c>
      <c r="F46" s="215" t="n">
        <v>1131</v>
      </c>
      <c r="G46" s="250" t="n">
        <f aca="false">IF(ISERROR(F46/$F$41),"",F46/$F$41)</f>
        <v>0.155656482246078</v>
      </c>
    </row>
    <row collapsed="false" customFormat="false" customHeight="false" hidden="false" ht="12.8" outlineLevel="0" r="47">
      <c r="B47" s="242" t="s">
        <v>416</v>
      </c>
      <c r="C47" s="255" t="s">
        <v>417</v>
      </c>
      <c r="D47" s="215" t="n">
        <v>778</v>
      </c>
      <c r="E47" s="249" t="n">
        <f aca="false">IF(ISERROR(D47/$D$41),"",D47/$D$41)</f>
        <v>0.108386737252717</v>
      </c>
      <c r="F47" s="215" t="n">
        <v>706</v>
      </c>
      <c r="G47" s="250" t="n">
        <f aca="false">IF(ISERROR(F47/$F$41),"",F47/$F$41)</f>
        <v>0.0971648775116983</v>
      </c>
    </row>
    <row collapsed="false" customFormat="false" customHeight="false" hidden="false" ht="12.8" outlineLevel="0" r="48">
      <c r="B48" s="237" t="s">
        <v>418</v>
      </c>
      <c r="C48" s="238" t="s">
        <v>419</v>
      </c>
      <c r="D48" s="261" t="n">
        <v>1070</v>
      </c>
      <c r="E48" s="239"/>
      <c r="F48" s="261" t="n">
        <v>1073</v>
      </c>
      <c r="G48" s="240"/>
    </row>
    <row collapsed="false" customFormat="false" customHeight="false" hidden="false" ht="12.8" outlineLevel="0" r="49">
      <c r="B49" s="232" t="n">
        <v>2.2</v>
      </c>
      <c r="C49" s="233" t="s">
        <v>420</v>
      </c>
      <c r="D49" s="253" t="n">
        <f aca="false">SUM(D50:D53)</f>
        <v>10537</v>
      </c>
      <c r="E49" s="235" t="inlineStr">
        <f aca="false">SUM(E50:E53)</f>
        <is>
          <t/>
        </is>
      </c>
      <c r="F49" s="253" t="n">
        <f aca="false">SUM(F50:F53)</f>
        <v>10238</v>
      </c>
      <c r="G49" s="236" t="inlineStr">
        <f aca="false">SUM(G50:G53)</f>
        <is>
          <t/>
        </is>
      </c>
    </row>
    <row collapsed="false" customFormat="false" customHeight="false" hidden="false" ht="12.8" outlineLevel="0" r="50">
      <c r="B50" s="254" t="s">
        <v>421</v>
      </c>
      <c r="C50" s="255" t="s">
        <v>422</v>
      </c>
      <c r="D50" s="209" t="n">
        <v>4259</v>
      </c>
      <c r="E50" s="249" t="n">
        <f aca="false">IF(ISERROR(D50/$D$49),"",D50/$D$49)</f>
        <v>0.404194742336528</v>
      </c>
      <c r="F50" s="209" t="n">
        <v>4688</v>
      </c>
      <c r="G50" s="250" t="n">
        <f aca="false">IF(ISERROR(F50/$F$49),"",F50/$F$49)</f>
        <v>0.457901933971479</v>
      </c>
    </row>
    <row collapsed="false" customFormat="false" customHeight="false" hidden="false" ht="12.8" outlineLevel="0" r="51">
      <c r="B51" s="254" t="s">
        <v>423</v>
      </c>
      <c r="C51" s="255" t="s">
        <v>424</v>
      </c>
      <c r="D51" s="209" t="n">
        <v>2664</v>
      </c>
      <c r="E51" s="249" t="n">
        <f aca="false">IF(ISERROR(D51/$D$49),"",D51/$D$49)</f>
        <v>0.252823384264971</v>
      </c>
      <c r="F51" s="209" t="n">
        <v>1939</v>
      </c>
      <c r="G51" s="250" t="n">
        <f aca="false">IF(ISERROR(F51/$F$49),"",F51/$F$49)</f>
        <v>0.189392459464739</v>
      </c>
    </row>
    <row collapsed="false" customFormat="false" customHeight="false" hidden="false" ht="12.8" outlineLevel="0" r="52">
      <c r="B52" s="254" t="s">
        <v>425</v>
      </c>
      <c r="C52" s="255" t="s">
        <v>426</v>
      </c>
      <c r="D52" s="209" t="n">
        <v>3091</v>
      </c>
      <c r="E52" s="249" t="n">
        <f aca="false">IF(ISERROR(D52/$D$49),"",D52/$D$49)</f>
        <v>0.293347252538673</v>
      </c>
      <c r="F52" s="209" t="n">
        <v>3310</v>
      </c>
      <c r="G52" s="250" t="n">
        <f aca="false">IF(ISERROR(F52/$F$49),"",F52/$F$49)</f>
        <v>0.323305333072866</v>
      </c>
    </row>
    <row collapsed="false" customFormat="false" customHeight="false" hidden="false" ht="12.8" outlineLevel="0" r="53">
      <c r="B53" s="254" t="s">
        <v>427</v>
      </c>
      <c r="C53" s="255" t="s">
        <v>428</v>
      </c>
      <c r="D53" s="209" t="n">
        <v>523</v>
      </c>
      <c r="E53" s="249" t="n">
        <f aca="false">IF(ISERROR(D53/$D$49),"",D53/$D$49)</f>
        <v>0.0496346208598273</v>
      </c>
      <c r="F53" s="209" t="n">
        <v>301</v>
      </c>
      <c r="G53" s="250" t="n">
        <f aca="false">IF(ISERROR(F53/$F$49),"",F53/$F$49)</f>
        <v>0.0294002734909162</v>
      </c>
    </row>
    <row collapsed="false" customFormat="false" customHeight="false" hidden="false" ht="12.8" outlineLevel="0" r="54">
      <c r="B54" s="232" t="n">
        <v>2.3</v>
      </c>
      <c r="C54" s="233" t="s">
        <v>429</v>
      </c>
      <c r="D54" s="253" t="n">
        <f aca="false">SUM(D55:D57)</f>
        <v>1851</v>
      </c>
      <c r="E54" s="235" t="inlineStr">
        <f aca="false">SUM(E55:E57)</f>
        <is>
          <t/>
        </is>
      </c>
      <c r="F54" s="253" t="n">
        <f aca="false">SUM(F55:F57)</f>
        <v>1642</v>
      </c>
      <c r="G54" s="236" t="inlineStr">
        <f aca="false">SUM(G55:G57)</f>
        <is>
          <t/>
        </is>
      </c>
    </row>
    <row collapsed="false" customFormat="false" customHeight="false" hidden="false" ht="12.8" outlineLevel="0" r="55">
      <c r="B55" s="254" t="s">
        <v>430</v>
      </c>
      <c r="C55" s="255" t="s">
        <v>431</v>
      </c>
      <c r="D55" s="209" t="n">
        <v>1110</v>
      </c>
      <c r="E55" s="249" t="n">
        <f aca="false">IF(ISERROR(D55/$D$54),"",D55/$D$54)</f>
        <v>0.59967585089141</v>
      </c>
      <c r="F55" s="209" t="n">
        <v>926</v>
      </c>
      <c r="G55" s="250" t="n">
        <f aca="false">IF(ISERROR(F55/$F$54),"",F55/$F$54)</f>
        <v>0.56394640682095</v>
      </c>
    </row>
    <row collapsed="false" customFormat="false" customHeight="false" hidden="false" ht="12.8" outlineLevel="0" r="56">
      <c r="B56" s="254" t="s">
        <v>432</v>
      </c>
      <c r="C56" s="255" t="s">
        <v>433</v>
      </c>
      <c r="D56" s="209" t="n">
        <v>233</v>
      </c>
      <c r="E56" s="249" t="n">
        <f aca="false">IF(ISERROR(D56/$D$54),"",D56/$D$54)</f>
        <v>0.125877903835764</v>
      </c>
      <c r="F56" s="209" t="n">
        <v>247</v>
      </c>
      <c r="G56" s="250" t="n">
        <f aca="false">IF(ISERROR(F56/$F$54),"",F56/$F$54)</f>
        <v>0.150426309378806</v>
      </c>
    </row>
    <row collapsed="false" customFormat="false" customHeight="false" hidden="false" ht="12.8" outlineLevel="0" r="57">
      <c r="B57" s="262" t="s">
        <v>434</v>
      </c>
      <c r="C57" s="263" t="s">
        <v>435</v>
      </c>
      <c r="D57" s="264" t="n">
        <v>508</v>
      </c>
      <c r="E57" s="265" t="n">
        <f aca="false">IF(ISERROR(D57/$D$54),"",D57/$D$54)</f>
        <v>0.274446245272825</v>
      </c>
      <c r="F57" s="264" t="n">
        <v>469</v>
      </c>
      <c r="G57" s="266" t="n">
        <f aca="false">IF(ISERROR(F57/$F$54),"",F57/$F$54)</f>
        <v>0.285627283800244</v>
      </c>
    </row>
    <row collapsed="false" customFormat="false" customHeight="false" hidden="false" ht="12.8" outlineLevel="0" r="58"/>
    <row collapsed="false" customFormat="false" customHeight="false" hidden="false" ht="12.8" outlineLevel="0" r="59">
      <c r="C59" s="267" t="s">
        <v>436</v>
      </c>
      <c r="D59" s="267"/>
      <c r="E59" s="267"/>
    </row>
    <row collapsed="false" customFormat="false" customHeight="true" hidden="false" ht="12.75" outlineLevel="0" r="60">
      <c r="C60" s="268" t="s">
        <v>437</v>
      </c>
      <c r="D60" s="268"/>
      <c r="E60" s="268"/>
    </row>
  </sheetData>
  <mergeCells count="3">
    <mergeCell ref="B4:C4"/>
    <mergeCell ref="C59:E59"/>
    <mergeCell ref="C60:E60"/>
  </mergeCells>
  <printOptions headings="false" gridLines="false" gridLinesSet="true" horizontalCentered="false" verticalCentered="false"/>
  <pageMargins left="0.379861111111111" right="0.290277777777778" top="0.390277777777778" bottom="0.379861111111111" header="0.511805555555555" footer="0.511805555555555"/>
  <pageSetup blackAndWhite="false" cellComments="none" copies="1" draft="false" firstPageNumber="0" fitToHeight="1" fitToWidth="1" horizontalDpi="300" orientation="portrait" pageOrder="downThenOver" paperSize="9" scale="100" useFirstPageNumber="false" usePrinterDefaults="false" verticalDpi="300"/>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2011-02-08T14:43:59.00Z</dcterms:created>
  <dc:creator>Dr UNolasco</dc:creator>
  <cp:lastModifiedBy>PLANIFICACION</cp:lastModifiedBy>
  <cp:lastPrinted>2012-02-02T21:26:31.00Z</cp:lastPrinted>
  <dcterms:modified xsi:type="dcterms:W3CDTF">2012-04-20T21:51:28.00Z</dcterms:modified>
  <cp:revision>0</cp:revision>
</cp:coreProperties>
</file>