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0" yWindow="30" windowWidth="7845" windowHeight="8625" tabRatio="871"/>
  </bookViews>
  <sheets>
    <sheet name="A-Informacion_General" sheetId="21" r:id="rId1"/>
    <sheet name="B-Org._y_Func." sheetId="22" r:id="rId2"/>
    <sheet name="C-Justificacion" sheetId="23" r:id="rId3"/>
    <sheet name="D-Poblacion_Censo-Proyeccion" sheetId="24" r:id="rId4"/>
    <sheet name="2_Atenciones_CapCIE_10-10" sheetId="3" r:id="rId5"/>
    <sheet name="3_Diez_Primeras_Causas_10" sheetId="2" r:id="rId6"/>
    <sheet name="4_Comportamiento_Produccion" sheetId="1" r:id="rId7"/>
    <sheet name="5_Produccion_Desagregada_10_09" sheetId="4" r:id="rId8"/>
    <sheet name="6_Prod_Scios_Intermedios_10" sheetId="5" r:id="rId9"/>
    <sheet name="7_Prod_Scios_Grales_10" sheetId="6" r:id="rId10"/>
    <sheet name="8_Inform_Camas_Quirof_Consul" sheetId="7" r:id="rId11"/>
    <sheet name="9_Inform_Gral_RRHH" sheetId="8" r:id="rId12"/>
    <sheet name="10_Distribucion_RRHH" sheetId="9" r:id="rId13"/>
    <sheet name="11_Inform_Gral_Presupuesto" sheetId="10" r:id="rId14"/>
    <sheet name="12_Indic_Gestion_Scios" sheetId="11" r:id="rId15"/>
    <sheet name="13_Normas_Programacion" sheetId="12" r:id="rId16"/>
    <sheet name="14_Produc_Rend_Cons_Cgia_10" sheetId="13" r:id="rId17"/>
    <sheet name="15_Produc_Rendi_Hosp_10" sheetId="14" r:id="rId18"/>
    <sheet name="16. Produc Rend Scio MD 10" sheetId="15" r:id="rId19"/>
    <sheet name="17_Prog_Produc_2011" sheetId="16" r:id="rId20"/>
    <sheet name="18_Prog_Scios_Intermedios" sheetId="17" r:id="rId21"/>
    <sheet name="19_Prog_Scios_Grales" sheetId="18" r:id="rId22"/>
    <sheet name="20_Prog_Gestion_Scios" sheetId="19" r:id="rId23"/>
    <sheet name="E-Consolidado_Prog" sheetId="20" r:id="rId24"/>
    <sheet name="F-Programacion_Proy_Espec" sheetId="27" r:id="rId25"/>
    <sheet name="G-Evaluacion" sheetId="25" r:id="rId26"/>
  </sheets>
  <externalReferences>
    <externalReference r:id="rId27"/>
    <externalReference r:id="rId28"/>
  </externalReferences>
  <definedNames>
    <definedName name="_xlnm.Print_Area" localSheetId="18">'16. Produc Rend Scio MD 10'!$A$1:$L$69</definedName>
    <definedName name="_xlnm.Print_Area" localSheetId="8">'6_Prod_Scios_Intermedios_10'!$A$1:$G$70</definedName>
    <definedName name="_xlnm.Print_Area" localSheetId="10">'8_Inform_Camas_Quirof_Consul'!$A$1:$N$36</definedName>
    <definedName name="_xlnm.Print_Area" localSheetId="0">'A-Informacion_General'!$A$1:$H$68</definedName>
    <definedName name="_xlnm.Print_Area" localSheetId="1">'B-Org._y_Func.'!$A$8:$C$26</definedName>
    <definedName name="_xlnm.Print_Area" localSheetId="2">'C-Justificacion'!$A$1:$A$16</definedName>
    <definedName name="_xlnm.Print_Area" localSheetId="3">'D-Poblacion_Censo-Proyeccion'!$A$1:$V$66</definedName>
    <definedName name="_xlnm.Print_Area" localSheetId="24">'F-Programacion_Proy_Espec'!$A$9:$T$54</definedName>
    <definedName name="_xlnm.Print_Area" localSheetId="25">'G-Evaluacion'!$A$1:$F$36</definedName>
    <definedName name="egresos1" localSheetId="4">'2_Atenciones_CapCIE_10-10'!#REF!</definedName>
    <definedName name="_xlnm.Print_Titles" localSheetId="12">'10_Distribucion_RRHH'!$1:$5</definedName>
    <definedName name="_xlnm.Print_Titles" localSheetId="13">'11_Inform_Gral_Presupuesto'!$B:$B</definedName>
    <definedName name="_xlnm.Print_Titles" localSheetId="15">'13_Normas_Programacion'!$14:$16</definedName>
    <definedName name="_xlnm.Print_Titles" localSheetId="17">'15_Produc_Rendi_Hosp_10'!$1:$3</definedName>
    <definedName name="_xlnm.Print_Titles" localSheetId="18">'16. Produc Rend Scio MD 10'!$1:$3</definedName>
    <definedName name="_xlnm.Print_Titles" localSheetId="20">'18_Prog_Scios_Intermedios'!$B:$B</definedName>
    <definedName name="_xlnm.Print_Titles" localSheetId="21">'19_Prog_Scios_Grales'!$B:$B</definedName>
    <definedName name="_xlnm.Print_Titles" localSheetId="6">'4_Comportamiento_Produccion'!$A:$A</definedName>
    <definedName name="_xlnm.Print_Titles" localSheetId="8">'6_Prod_Scios_Intermedios_10'!$1:$3</definedName>
    <definedName name="_xlnm.Print_Titles" localSheetId="9">'7_Prod_Scios_Grales_10'!$1:$3</definedName>
    <definedName name="_xlnm.Print_Titles" localSheetId="11">'9_Inform_Gral_RRHH'!$B:$B</definedName>
    <definedName name="_xlnm.Print_Titles" localSheetId="1">'B-Org._y_Func.'!$1:$7</definedName>
    <definedName name="_xlnm.Print_Titles" localSheetId="23">'E-Consolidado_Prog'!$A:$C,'E-Consolidado_Prog'!$1:$7</definedName>
    <definedName name="_xlnm.Print_Titles" localSheetId="24">'F-Programacion_Proy_Espec'!$1:$8</definedName>
  </definedNames>
  <calcPr calcId="145621"/>
</workbook>
</file>

<file path=xl/calcChain.xml><?xml version="1.0" encoding="utf-8"?>
<calcChain xmlns="http://schemas.openxmlformats.org/spreadsheetml/2006/main">
  <c r="A8" i="25" l="1"/>
  <c r="A9" i="25" s="1"/>
  <c r="A10" i="25" s="1"/>
  <c r="A11" i="25" s="1"/>
  <c r="A12" i="25" s="1"/>
  <c r="A13" i="25" s="1"/>
  <c r="A14" i="25" s="1"/>
  <c r="A15" i="25" s="1"/>
  <c r="A16" i="25"/>
  <c r="A17" i="25" s="1"/>
  <c r="J10" i="27"/>
  <c r="M10" i="27"/>
  <c r="P10" i="27"/>
  <c r="S10" i="27"/>
  <c r="J11" i="27"/>
  <c r="M11" i="27"/>
  <c r="P11" i="27"/>
  <c r="S11" i="27"/>
  <c r="J12" i="27"/>
  <c r="M12" i="27"/>
  <c r="P12" i="27"/>
  <c r="S12" i="27"/>
  <c r="J13" i="27"/>
  <c r="M13" i="27"/>
  <c r="P13" i="27"/>
  <c r="S13" i="27"/>
  <c r="J14" i="27"/>
  <c r="M14" i="27"/>
  <c r="P14" i="27"/>
  <c r="S14" i="27"/>
  <c r="J15" i="27"/>
  <c r="M15" i="27"/>
  <c r="P15" i="27"/>
  <c r="S15" i="27"/>
  <c r="J16" i="27"/>
  <c r="M16" i="27"/>
  <c r="P16" i="27"/>
  <c r="S16" i="27"/>
  <c r="J17" i="27"/>
  <c r="M17" i="27"/>
  <c r="P17" i="27"/>
  <c r="S17" i="27"/>
  <c r="J18" i="27"/>
  <c r="M18" i="27"/>
  <c r="P18" i="27"/>
  <c r="S18" i="27"/>
  <c r="J19" i="27"/>
  <c r="M19" i="27"/>
  <c r="P19" i="27"/>
  <c r="S19" i="27"/>
  <c r="J21" i="27"/>
  <c r="M21" i="27"/>
  <c r="P21" i="27"/>
  <c r="S21" i="27"/>
  <c r="J22" i="27"/>
  <c r="M22" i="27"/>
  <c r="P22" i="27"/>
  <c r="S22" i="27"/>
  <c r="J23" i="27"/>
  <c r="M23" i="27"/>
  <c r="P23" i="27"/>
  <c r="S23" i="27"/>
  <c r="J24" i="27"/>
  <c r="M24" i="27"/>
  <c r="P24" i="27"/>
  <c r="S24" i="27"/>
  <c r="J25" i="27"/>
  <c r="M25" i="27"/>
  <c r="P25" i="27"/>
  <c r="S25" i="27"/>
  <c r="J26" i="27"/>
  <c r="M26" i="27"/>
  <c r="P26" i="27"/>
  <c r="S26" i="27"/>
  <c r="J27" i="27"/>
  <c r="M27" i="27"/>
  <c r="P27" i="27"/>
  <c r="S27" i="27"/>
  <c r="J28" i="27"/>
  <c r="M28" i="27"/>
  <c r="P28" i="27"/>
  <c r="S28" i="27"/>
  <c r="J29" i="27"/>
  <c r="M29" i="27"/>
  <c r="P29" i="27"/>
  <c r="S29" i="27"/>
  <c r="J30" i="27"/>
  <c r="M30" i="27"/>
  <c r="P30" i="27"/>
  <c r="S30" i="27"/>
  <c r="J31" i="27"/>
  <c r="M31" i="27"/>
  <c r="P31" i="27"/>
  <c r="S31" i="27"/>
  <c r="J32" i="27"/>
  <c r="M32" i="27"/>
  <c r="P32" i="27"/>
  <c r="S32" i="27"/>
  <c r="J33" i="27"/>
  <c r="M33" i="27"/>
  <c r="P33" i="27"/>
  <c r="S33" i="27"/>
  <c r="J34" i="27"/>
  <c r="M34" i="27"/>
  <c r="P34" i="27"/>
  <c r="S34" i="27"/>
  <c r="J35" i="27"/>
  <c r="M35" i="27"/>
  <c r="P35" i="27"/>
  <c r="S35" i="27"/>
  <c r="J36" i="27"/>
  <c r="M36" i="27"/>
  <c r="P36" i="27"/>
  <c r="S36" i="27"/>
  <c r="J37" i="27"/>
  <c r="M37" i="27"/>
  <c r="P37" i="27"/>
  <c r="S37" i="27"/>
  <c r="J38" i="27"/>
  <c r="M38" i="27"/>
  <c r="P38" i="27"/>
  <c r="S38" i="27"/>
  <c r="J39" i="27"/>
  <c r="M39" i="27"/>
  <c r="P39" i="27"/>
  <c r="S39" i="27"/>
  <c r="J40" i="27"/>
  <c r="M40" i="27"/>
  <c r="P40" i="27"/>
  <c r="S40" i="27"/>
  <c r="J41" i="27"/>
  <c r="M41" i="27"/>
  <c r="P41" i="27"/>
  <c r="S41" i="27"/>
  <c r="J42" i="27"/>
  <c r="M42" i="27"/>
  <c r="P42" i="27"/>
  <c r="S42" i="27"/>
  <c r="J43" i="27"/>
  <c r="M43" i="27"/>
  <c r="P43" i="27"/>
  <c r="S43" i="27"/>
  <c r="J44" i="27"/>
  <c r="M44" i="27"/>
  <c r="P44" i="27"/>
  <c r="S44" i="27"/>
  <c r="J45" i="27"/>
  <c r="M45" i="27"/>
  <c r="P45" i="27"/>
  <c r="S45" i="27"/>
  <c r="J46" i="27"/>
  <c r="M46" i="27"/>
  <c r="P46" i="27"/>
  <c r="S46" i="27"/>
  <c r="J47" i="27"/>
  <c r="M47" i="27"/>
  <c r="P47" i="27"/>
  <c r="S47" i="27"/>
  <c r="J48" i="27"/>
  <c r="M48" i="27"/>
  <c r="P48" i="27"/>
  <c r="S48" i="27"/>
  <c r="J49" i="27"/>
  <c r="M49" i="27"/>
  <c r="P49" i="27"/>
  <c r="S49" i="27"/>
  <c r="J50" i="27"/>
  <c r="M50" i="27"/>
  <c r="P50" i="27"/>
  <c r="S50" i="27"/>
  <c r="J51" i="27"/>
  <c r="M51" i="27"/>
  <c r="P51" i="27"/>
  <c r="S51" i="27"/>
  <c r="J52" i="27"/>
  <c r="M52" i="27"/>
  <c r="P52" i="27"/>
  <c r="S52" i="27"/>
  <c r="J53" i="27"/>
  <c r="M53" i="27"/>
  <c r="P53" i="27"/>
  <c r="S53" i="27"/>
  <c r="J54" i="27"/>
  <c r="M54" i="27"/>
  <c r="P54" i="27"/>
  <c r="S54" i="27"/>
  <c r="D9" i="20"/>
  <c r="E9" i="20" s="1"/>
  <c r="O9" i="20"/>
  <c r="Q9" i="20"/>
  <c r="T9" i="20"/>
  <c r="W9" i="20"/>
  <c r="Y9" i="20" s="1"/>
  <c r="AA9" i="20"/>
  <c r="AC9" i="20"/>
  <c r="AE9" i="20" s="1"/>
  <c r="AF9" i="20"/>
  <c r="AH9" i="20" s="1"/>
  <c r="AI9" i="20"/>
  <c r="AK9" i="20" s="1"/>
  <c r="AL9" i="20"/>
  <c r="AM9" i="20"/>
  <c r="AO9" i="20"/>
  <c r="AQ9" i="20" s="1"/>
  <c r="AR9" i="20"/>
  <c r="AU9" i="20"/>
  <c r="AY9" i="20"/>
  <c r="BA9" i="20"/>
  <c r="BC9" i="20" s="1"/>
  <c r="D10" i="20"/>
  <c r="E10" i="20"/>
  <c r="H10" i="20"/>
  <c r="J10" i="20" s="1"/>
  <c r="K10" i="20"/>
  <c r="M10" i="20" s="1"/>
  <c r="O10" i="20"/>
  <c r="Q10" i="20"/>
  <c r="S10" i="20" s="1"/>
  <c r="T10" i="20"/>
  <c r="V10" i="20"/>
  <c r="W10" i="20"/>
  <c r="Y10" i="20" s="1"/>
  <c r="Z10" i="20"/>
  <c r="AA10" i="20"/>
  <c r="AC10" i="20"/>
  <c r="AE10" i="20" s="1"/>
  <c r="AF10" i="20"/>
  <c r="AI10" i="20"/>
  <c r="AK10" i="20" s="1"/>
  <c r="AM10" i="20"/>
  <c r="AO10" i="20"/>
  <c r="AR10" i="20"/>
  <c r="AT10" i="20"/>
  <c r="AU10" i="20"/>
  <c r="AW10" i="20" s="1"/>
  <c r="AY10" i="20"/>
  <c r="BA10" i="20"/>
  <c r="BC10" i="20" s="1"/>
  <c r="D11" i="20"/>
  <c r="E11" i="20" s="1"/>
  <c r="O11" i="20"/>
  <c r="Q11" i="20"/>
  <c r="S11" i="20" s="1"/>
  <c r="T11" i="20"/>
  <c r="V11" i="20" s="1"/>
  <c r="W11" i="20"/>
  <c r="Y11" i="20" s="1"/>
  <c r="Z11" i="20"/>
  <c r="AA11" i="20"/>
  <c r="AM11" i="20"/>
  <c r="AO11" i="20"/>
  <c r="AR11" i="20"/>
  <c r="AU11" i="20"/>
  <c r="AW11" i="20" s="1"/>
  <c r="BA11" i="20"/>
  <c r="BC11" i="20" s="1"/>
  <c r="D12" i="20"/>
  <c r="F12" i="20"/>
  <c r="I12" i="20"/>
  <c r="L12" i="20"/>
  <c r="R12" i="20"/>
  <c r="U12" i="20"/>
  <c r="W12" i="20"/>
  <c r="X12" i="20"/>
  <c r="AD12" i="20"/>
  <c r="AG12" i="20"/>
  <c r="AJ12" i="20"/>
  <c r="AM12" i="20"/>
  <c r="AP12" i="20"/>
  <c r="AS12" i="20"/>
  <c r="AV12" i="20"/>
  <c r="BA12" i="20"/>
  <c r="BB12" i="20"/>
  <c r="BC12" i="20" s="1"/>
  <c r="D14" i="20"/>
  <c r="E14" i="20" s="1"/>
  <c r="O14" i="20"/>
  <c r="O21" i="20" s="1"/>
  <c r="Q14" i="20"/>
  <c r="S14" i="20" s="1"/>
  <c r="T14" i="20"/>
  <c r="V14" i="20" s="1"/>
  <c r="W14" i="20"/>
  <c r="Y14" i="20" s="1"/>
  <c r="Z14" i="20"/>
  <c r="AA14" i="20"/>
  <c r="AF14" i="20"/>
  <c r="AH14" i="20"/>
  <c r="AI14" i="20"/>
  <c r="AK14" i="20" s="1"/>
  <c r="AM14" i="20"/>
  <c r="AO14" i="20"/>
  <c r="AR14" i="20"/>
  <c r="AT14" i="20" s="1"/>
  <c r="AU14" i="20"/>
  <c r="AW14" i="20" s="1"/>
  <c r="AY14" i="20"/>
  <c r="BA14" i="20"/>
  <c r="BC14" i="20"/>
  <c r="D15" i="20"/>
  <c r="E15" i="20"/>
  <c r="G15" i="20" s="1"/>
  <c r="O15" i="20"/>
  <c r="T15" i="20"/>
  <c r="V15" i="20" s="1"/>
  <c r="AA15" i="20"/>
  <c r="AC15" i="20"/>
  <c r="AF15" i="20"/>
  <c r="AH15" i="20" s="1"/>
  <c r="AM15" i="20"/>
  <c r="AR15" i="20"/>
  <c r="AT15" i="20"/>
  <c r="AY15" i="20"/>
  <c r="D16" i="20"/>
  <c r="O16" i="20"/>
  <c r="AA16" i="20"/>
  <c r="AM16" i="20"/>
  <c r="AM21" i="20" s="1"/>
  <c r="AY16" i="20"/>
  <c r="D17" i="20"/>
  <c r="E17" i="20"/>
  <c r="H17" i="20"/>
  <c r="J17" i="20" s="1"/>
  <c r="K17" i="20"/>
  <c r="M17" i="20" s="1"/>
  <c r="O17" i="20"/>
  <c r="Q17" i="20"/>
  <c r="S17" i="20" s="1"/>
  <c r="T17" i="20"/>
  <c r="W17" i="20"/>
  <c r="Y17" i="20" s="1"/>
  <c r="AA17" i="20"/>
  <c r="AC17" i="20"/>
  <c r="AE17" i="20" s="1"/>
  <c r="AF17" i="20"/>
  <c r="AI17" i="20"/>
  <c r="AK17" i="20" s="1"/>
  <c r="AM17" i="20"/>
  <c r="AO17" i="20"/>
  <c r="AR17" i="20"/>
  <c r="AT17" i="20"/>
  <c r="AU17" i="20"/>
  <c r="AW17" i="20" s="1"/>
  <c r="AY17" i="20"/>
  <c r="BA17" i="20"/>
  <c r="BC17" i="20" s="1"/>
  <c r="D18" i="20"/>
  <c r="E18" i="20" s="1"/>
  <c r="O18" i="20"/>
  <c r="Q18" i="20"/>
  <c r="S18" i="20" s="1"/>
  <c r="T18" i="20"/>
  <c r="V18" i="20" s="1"/>
  <c r="W18" i="20"/>
  <c r="Y18" i="20" s="1"/>
  <c r="Z18" i="20"/>
  <c r="AA18" i="20"/>
  <c r="AM18" i="20"/>
  <c r="AO18" i="20"/>
  <c r="AR18" i="20"/>
  <c r="AT18" i="20" s="1"/>
  <c r="AU18" i="20"/>
  <c r="AW18" i="20" s="1"/>
  <c r="AY18" i="20"/>
  <c r="D19" i="20"/>
  <c r="E19" i="20" s="1"/>
  <c r="H19" i="20"/>
  <c r="J19" i="20" s="1"/>
  <c r="K19" i="20"/>
  <c r="M19" i="20" s="1"/>
  <c r="O19" i="20"/>
  <c r="Q19" i="20"/>
  <c r="T19" i="20"/>
  <c r="V19" i="20"/>
  <c r="W19" i="20"/>
  <c r="Y19" i="20" s="1"/>
  <c r="AA19" i="20"/>
  <c r="AC19" i="20"/>
  <c r="AE19" i="20" s="1"/>
  <c r="AF19" i="20"/>
  <c r="AH19" i="20" s="1"/>
  <c r="AI19" i="20"/>
  <c r="AK19" i="20" s="1"/>
  <c r="AL19" i="20"/>
  <c r="AN19" i="20" s="1"/>
  <c r="AM19" i="20"/>
  <c r="AO19" i="20"/>
  <c r="AQ19" i="20" s="1"/>
  <c r="AR19" i="20"/>
  <c r="AT19" i="20"/>
  <c r="AU19" i="20"/>
  <c r="AW19" i="20" s="1"/>
  <c r="AY19" i="20"/>
  <c r="BA19" i="20"/>
  <c r="BC19" i="20" s="1"/>
  <c r="D20" i="20"/>
  <c r="E20" i="20" s="1"/>
  <c r="O20" i="20"/>
  <c r="Q20" i="20"/>
  <c r="T20" i="20"/>
  <c r="V20" i="20" s="1"/>
  <c r="W20" i="20"/>
  <c r="Y20" i="20" s="1"/>
  <c r="AA20" i="20"/>
  <c r="AM20" i="20"/>
  <c r="AO20" i="20"/>
  <c r="AQ20" i="20" s="1"/>
  <c r="AR20" i="20"/>
  <c r="AU20" i="20"/>
  <c r="AW20" i="20" s="1"/>
  <c r="AY20" i="20"/>
  <c r="F21" i="20"/>
  <c r="I21" i="20"/>
  <c r="L21" i="20"/>
  <c r="R21" i="20"/>
  <c r="U21" i="20"/>
  <c r="X21" i="20"/>
  <c r="AD21" i="20"/>
  <c r="AG21" i="20"/>
  <c r="AJ21" i="20"/>
  <c r="AP21" i="20"/>
  <c r="AS21" i="20"/>
  <c r="AV21" i="20"/>
  <c r="BB21" i="20"/>
  <c r="D23" i="20"/>
  <c r="K23" i="20" s="1"/>
  <c r="M23" i="20" s="1"/>
  <c r="O23" i="20"/>
  <c r="AA23" i="20"/>
  <c r="AM23" i="20"/>
  <c r="AY23" i="20"/>
  <c r="D24" i="20"/>
  <c r="O24" i="20"/>
  <c r="T24" i="20"/>
  <c r="V24" i="20" s="1"/>
  <c r="W24" i="20"/>
  <c r="Y24" i="20" s="1"/>
  <c r="AA24" i="20"/>
  <c r="AM24" i="20"/>
  <c r="AU24" i="20"/>
  <c r="AW24" i="20" s="1"/>
  <c r="AY24" i="20"/>
  <c r="F25" i="20"/>
  <c r="I25" i="20"/>
  <c r="L25" i="20"/>
  <c r="O25" i="20"/>
  <c r="R25" i="20"/>
  <c r="U25" i="20"/>
  <c r="X25" i="20"/>
  <c r="AA25" i="20"/>
  <c r="AD25" i="20"/>
  <c r="AG25" i="20"/>
  <c r="AJ25" i="20"/>
  <c r="AP25" i="20"/>
  <c r="AS25" i="20"/>
  <c r="AV25" i="20"/>
  <c r="BB25" i="20"/>
  <c r="E27" i="20"/>
  <c r="N27" i="20" s="1"/>
  <c r="P27" i="20" s="1"/>
  <c r="G27" i="20"/>
  <c r="H27" i="20"/>
  <c r="J27" i="20" s="1"/>
  <c r="K27" i="20"/>
  <c r="M27" i="20"/>
  <c r="O27" i="20"/>
  <c r="Q27" i="20"/>
  <c r="T27" i="20"/>
  <c r="V27" i="20"/>
  <c r="W27" i="20"/>
  <c r="Y27" i="20" s="1"/>
  <c r="AA27" i="20"/>
  <c r="AC27" i="20"/>
  <c r="AE27" i="20" s="1"/>
  <c r="AF27" i="20"/>
  <c r="AH27" i="20" s="1"/>
  <c r="AI27" i="20"/>
  <c r="AK27" i="20" s="1"/>
  <c r="AL27" i="20"/>
  <c r="AM27" i="20"/>
  <c r="AO27" i="20"/>
  <c r="AQ27" i="20"/>
  <c r="AR27" i="20"/>
  <c r="AU27" i="20"/>
  <c r="AW27" i="20"/>
  <c r="AX27" i="20"/>
  <c r="AY27" i="20"/>
  <c r="BA27" i="20"/>
  <c r="BC27" i="20" s="1"/>
  <c r="D28" i="20"/>
  <c r="E28" i="20" s="1"/>
  <c r="H28" i="20"/>
  <c r="J28" i="20" s="1"/>
  <c r="K28" i="20"/>
  <c r="M28" i="20" s="1"/>
  <c r="O28" i="20"/>
  <c r="Q28" i="20"/>
  <c r="W28" i="20"/>
  <c r="Y28" i="20" s="1"/>
  <c r="AA28" i="20"/>
  <c r="AC28" i="20"/>
  <c r="AE28" i="20" s="1"/>
  <c r="AF28" i="20"/>
  <c r="AH28" i="20" s="1"/>
  <c r="AI28" i="20"/>
  <c r="AK28" i="20" s="1"/>
  <c r="AL28" i="20"/>
  <c r="AM28" i="20"/>
  <c r="AO28" i="20"/>
  <c r="AQ28" i="20"/>
  <c r="AR28" i="20"/>
  <c r="AT28" i="20" s="1"/>
  <c r="AU28" i="20"/>
  <c r="AW28" i="20" s="1"/>
  <c r="AY28" i="20"/>
  <c r="BA28" i="20"/>
  <c r="BC28" i="20" s="1"/>
  <c r="D29" i="20"/>
  <c r="E29" i="20" s="1"/>
  <c r="O29" i="20"/>
  <c r="Q29" i="20"/>
  <c r="T29" i="20"/>
  <c r="V29" i="20" s="1"/>
  <c r="W29" i="20"/>
  <c r="Y29" i="20" s="1"/>
  <c r="AA29" i="20"/>
  <c r="AM29" i="20"/>
  <c r="AR29" i="20"/>
  <c r="AT29" i="20" s="1"/>
  <c r="AU29" i="20"/>
  <c r="AW29" i="20" s="1"/>
  <c r="AY29" i="20"/>
  <c r="D30" i="20"/>
  <c r="K30" i="20"/>
  <c r="M30" i="20" s="1"/>
  <c r="O30" i="20"/>
  <c r="Q30" i="20"/>
  <c r="S30" i="20"/>
  <c r="W30" i="20"/>
  <c r="Y30" i="20" s="1"/>
  <c r="AA30" i="20"/>
  <c r="AC30" i="20"/>
  <c r="AM30" i="20"/>
  <c r="AR30" i="20"/>
  <c r="AT30" i="20" s="1"/>
  <c r="AY30" i="20"/>
  <c r="BA30" i="20"/>
  <c r="BC30" i="20" s="1"/>
  <c r="D31" i="20"/>
  <c r="F31" i="20"/>
  <c r="I31" i="20"/>
  <c r="L31" i="20"/>
  <c r="O31" i="20"/>
  <c r="R31" i="20"/>
  <c r="U31" i="20"/>
  <c r="X31" i="20"/>
  <c r="AD31" i="20"/>
  <c r="AG31" i="20"/>
  <c r="AJ31" i="20"/>
  <c r="AM31" i="20"/>
  <c r="AP31" i="20"/>
  <c r="AS31" i="20"/>
  <c r="AV31" i="20"/>
  <c r="BB31" i="20"/>
  <c r="D33" i="20"/>
  <c r="O33" i="20"/>
  <c r="T33" i="20"/>
  <c r="V33" i="20" s="1"/>
  <c r="W33" i="20"/>
  <c r="Y33" i="20" s="1"/>
  <c r="AA33" i="20"/>
  <c r="AM33" i="20"/>
  <c r="AU33" i="20"/>
  <c r="AW33" i="20" s="1"/>
  <c r="AY33" i="20"/>
  <c r="O35" i="20"/>
  <c r="AA35" i="20"/>
  <c r="AM35" i="20"/>
  <c r="AM37" i="20" s="1"/>
  <c r="AY35" i="20"/>
  <c r="O36" i="20"/>
  <c r="AA36" i="20"/>
  <c r="AM36" i="20"/>
  <c r="AY36" i="20"/>
  <c r="F37" i="20"/>
  <c r="I37" i="20"/>
  <c r="L37" i="20"/>
  <c r="R37" i="20"/>
  <c r="U37" i="20"/>
  <c r="X37" i="20"/>
  <c r="AD37" i="20"/>
  <c r="AG37" i="20"/>
  <c r="AJ37" i="20"/>
  <c r="AP37" i="20"/>
  <c r="AS37" i="20"/>
  <c r="AV37" i="20"/>
  <c r="BB37" i="20"/>
  <c r="O39" i="20"/>
  <c r="AA39" i="20"/>
  <c r="AM39" i="20"/>
  <c r="AM41" i="20" s="1"/>
  <c r="AY39" i="20"/>
  <c r="O40" i="20"/>
  <c r="AA40" i="20"/>
  <c r="AM40" i="20"/>
  <c r="AY40" i="20"/>
  <c r="F41" i="20"/>
  <c r="I41" i="20"/>
  <c r="L41" i="20"/>
  <c r="R41" i="20"/>
  <c r="U41" i="20"/>
  <c r="X41" i="20"/>
  <c r="AD41" i="20"/>
  <c r="AG41" i="20"/>
  <c r="AJ41" i="20"/>
  <c r="AP41" i="20"/>
  <c r="AS41" i="20"/>
  <c r="AV41" i="20"/>
  <c r="BB41" i="20"/>
  <c r="R42" i="20"/>
  <c r="AA42" i="20" s="1"/>
  <c r="AM42" i="20"/>
  <c r="AY42" i="20"/>
  <c r="O44" i="20"/>
  <c r="AA44" i="20"/>
  <c r="AM44" i="20"/>
  <c r="AY44" i="20"/>
  <c r="O47" i="20"/>
  <c r="AA47" i="20"/>
  <c r="AM47" i="20"/>
  <c r="AY47" i="20"/>
  <c r="O48" i="20"/>
  <c r="AA48" i="20"/>
  <c r="AM48" i="20"/>
  <c r="AY48" i="20"/>
  <c r="F49" i="20"/>
  <c r="I49" i="20"/>
  <c r="L49" i="20"/>
  <c r="R49" i="20"/>
  <c r="U49" i="20"/>
  <c r="X49" i="20"/>
  <c r="AD49" i="20"/>
  <c r="AG49" i="20"/>
  <c r="AJ49" i="20"/>
  <c r="AP49" i="20"/>
  <c r="AS49" i="20"/>
  <c r="AV49" i="20"/>
  <c r="BB49" i="20"/>
  <c r="O50" i="20"/>
  <c r="AA50" i="20"/>
  <c r="AM50" i="20"/>
  <c r="AY50" i="20"/>
  <c r="O51" i="20"/>
  <c r="AA51" i="20"/>
  <c r="AM51" i="20"/>
  <c r="AY51" i="20"/>
  <c r="O52" i="20"/>
  <c r="AA52" i="20"/>
  <c r="AM52" i="20"/>
  <c r="AY52" i="20"/>
  <c r="O53" i="20"/>
  <c r="AA53" i="20"/>
  <c r="AM53" i="20"/>
  <c r="AY53" i="20"/>
  <c r="O54" i="20"/>
  <c r="AA54" i="20"/>
  <c r="AM54" i="20"/>
  <c r="AY54" i="20"/>
  <c r="D56" i="20"/>
  <c r="N56" i="20" s="1"/>
  <c r="P56" i="20" s="1"/>
  <c r="BB56" i="20"/>
  <c r="G58" i="20"/>
  <c r="J58" i="20"/>
  <c r="M58" i="20"/>
  <c r="N58" i="20"/>
  <c r="O58" i="20"/>
  <c r="P58" i="20" s="1"/>
  <c r="S58" i="20"/>
  <c r="V58" i="20"/>
  <c r="Y58" i="20"/>
  <c r="Z58" i="20"/>
  <c r="AA58" i="20"/>
  <c r="AB58" i="20"/>
  <c r="AE58" i="20"/>
  <c r="AH58" i="20"/>
  <c r="AK58" i="20"/>
  <c r="AL58" i="20"/>
  <c r="AM58" i="20"/>
  <c r="AN58" i="20" s="1"/>
  <c r="AQ58" i="20"/>
  <c r="AT58" i="20"/>
  <c r="AW58" i="20"/>
  <c r="AX58" i="20"/>
  <c r="AY58" i="20"/>
  <c r="AZ58" i="20" s="1"/>
  <c r="G59" i="20"/>
  <c r="J59" i="20"/>
  <c r="M59" i="20"/>
  <c r="N59" i="20"/>
  <c r="O59" i="20"/>
  <c r="P59" i="20"/>
  <c r="S59" i="20"/>
  <c r="V59" i="20"/>
  <c r="Y59" i="20"/>
  <c r="Z59" i="20"/>
  <c r="AA59" i="20"/>
  <c r="AE59" i="20"/>
  <c r="AH59" i="20"/>
  <c r="AK59" i="20"/>
  <c r="AL59" i="20"/>
  <c r="AM59" i="20"/>
  <c r="AN59" i="20"/>
  <c r="AQ59" i="20"/>
  <c r="AT59" i="20"/>
  <c r="AW59" i="20"/>
  <c r="AX59" i="20"/>
  <c r="AY59" i="20"/>
  <c r="BB59" i="20"/>
  <c r="G60" i="20"/>
  <c r="J60" i="20"/>
  <c r="M60" i="20"/>
  <c r="N60" i="20"/>
  <c r="O60" i="20"/>
  <c r="P60" i="20" s="1"/>
  <c r="S60" i="20"/>
  <c r="V60" i="20"/>
  <c r="Y60" i="20"/>
  <c r="Z60" i="20"/>
  <c r="AA60" i="20"/>
  <c r="AE60" i="20"/>
  <c r="AH60" i="20"/>
  <c r="AK60" i="20"/>
  <c r="AL60" i="20"/>
  <c r="AM60" i="20"/>
  <c r="AQ60" i="20"/>
  <c r="AT60" i="20"/>
  <c r="AW60" i="20"/>
  <c r="AX60" i="20"/>
  <c r="AY60" i="20"/>
  <c r="AZ60" i="20" s="1"/>
  <c r="G61" i="20"/>
  <c r="J61" i="20"/>
  <c r="M61" i="20"/>
  <c r="N61" i="20"/>
  <c r="O61" i="20"/>
  <c r="P61" i="20" s="1"/>
  <c r="S61" i="20"/>
  <c r="V61" i="20"/>
  <c r="Y61" i="20"/>
  <c r="Z61" i="20"/>
  <c r="AA61" i="20"/>
  <c r="AB61" i="20" s="1"/>
  <c r="AE61" i="20"/>
  <c r="AH61" i="20"/>
  <c r="AK61" i="20"/>
  <c r="AL61" i="20"/>
  <c r="AM61" i="20"/>
  <c r="AN61" i="20" s="1"/>
  <c r="AQ61" i="20"/>
  <c r="AT61" i="20"/>
  <c r="AW61" i="20"/>
  <c r="AX61" i="20"/>
  <c r="AY61" i="20"/>
  <c r="D62" i="20"/>
  <c r="BA62" i="20" s="1"/>
  <c r="G62" i="20"/>
  <c r="J62" i="20"/>
  <c r="M62" i="20"/>
  <c r="N62" i="20"/>
  <c r="O62" i="20"/>
  <c r="P62" i="20" s="1"/>
  <c r="S62" i="20"/>
  <c r="V62" i="20"/>
  <c r="Y62" i="20"/>
  <c r="Z62" i="20"/>
  <c r="AA62" i="20"/>
  <c r="AB62" i="20"/>
  <c r="AE62" i="20"/>
  <c r="AH62" i="20"/>
  <c r="AK62" i="20"/>
  <c r="AL62" i="20"/>
  <c r="AM62" i="20"/>
  <c r="AN62" i="20" s="1"/>
  <c r="AQ62" i="20"/>
  <c r="AT62" i="20"/>
  <c r="AW62" i="20"/>
  <c r="AX62" i="20"/>
  <c r="AY62" i="20"/>
  <c r="AZ62" i="20" s="1"/>
  <c r="G63" i="20"/>
  <c r="J63" i="20"/>
  <c r="M63" i="20"/>
  <c r="N63" i="20"/>
  <c r="O63" i="20"/>
  <c r="P63" i="20" s="1"/>
  <c r="S63" i="20"/>
  <c r="V63" i="20"/>
  <c r="Y63" i="20"/>
  <c r="Z63" i="20"/>
  <c r="AA63" i="20"/>
  <c r="AB63" i="20" s="1"/>
  <c r="AE63" i="20"/>
  <c r="AH63" i="20"/>
  <c r="AK63" i="20"/>
  <c r="AL63" i="20"/>
  <c r="AM63" i="20"/>
  <c r="AN63" i="20"/>
  <c r="AQ63" i="20"/>
  <c r="AT63" i="20"/>
  <c r="AW63" i="20"/>
  <c r="AX63" i="20"/>
  <c r="AY63" i="20"/>
  <c r="BB63" i="20"/>
  <c r="G64" i="20"/>
  <c r="J64" i="20"/>
  <c r="M64" i="20"/>
  <c r="N64" i="20"/>
  <c r="O64" i="20"/>
  <c r="S64" i="20"/>
  <c r="V64" i="20"/>
  <c r="Y64" i="20"/>
  <c r="Z64" i="20"/>
  <c r="AA64" i="20"/>
  <c r="AB64" i="20" s="1"/>
  <c r="AE64" i="20"/>
  <c r="AH64" i="20"/>
  <c r="AK64" i="20"/>
  <c r="AL64" i="20"/>
  <c r="AM64" i="20"/>
  <c r="AQ64" i="20"/>
  <c r="AT64" i="20"/>
  <c r="AW64" i="20"/>
  <c r="AX64" i="20"/>
  <c r="AY64" i="20"/>
  <c r="AZ64" i="20" s="1"/>
  <c r="G65" i="20"/>
  <c r="J65" i="20"/>
  <c r="M65" i="20"/>
  <c r="N65" i="20"/>
  <c r="O65" i="20"/>
  <c r="P65" i="20"/>
  <c r="S65" i="20"/>
  <c r="V65" i="20"/>
  <c r="Y65" i="20"/>
  <c r="Z65" i="20"/>
  <c r="AA65" i="20"/>
  <c r="AE65" i="20"/>
  <c r="AH65" i="20"/>
  <c r="AK65" i="20"/>
  <c r="AL65" i="20"/>
  <c r="AM65" i="20"/>
  <c r="AN65" i="20" s="1"/>
  <c r="AQ65" i="20"/>
  <c r="AT65" i="20"/>
  <c r="AW65" i="20"/>
  <c r="AX65" i="20"/>
  <c r="AY65" i="20"/>
  <c r="AZ65" i="20" s="1"/>
  <c r="BB65" i="20"/>
  <c r="G66" i="20"/>
  <c r="J66" i="20"/>
  <c r="M66" i="20"/>
  <c r="N66" i="20"/>
  <c r="O66" i="20"/>
  <c r="S66" i="20"/>
  <c r="V66" i="20"/>
  <c r="Y66" i="20"/>
  <c r="Z66" i="20"/>
  <c r="AA66" i="20"/>
  <c r="AB66" i="20"/>
  <c r="AE66" i="20"/>
  <c r="AH66" i="20"/>
  <c r="AK66" i="20"/>
  <c r="AL66" i="20"/>
  <c r="AM66" i="20"/>
  <c r="AQ66" i="20"/>
  <c r="AT66" i="20"/>
  <c r="AW66" i="20"/>
  <c r="AX66" i="20"/>
  <c r="AY66" i="20"/>
  <c r="AZ66" i="20"/>
  <c r="BB66" i="20"/>
  <c r="D67" i="20"/>
  <c r="BA67" i="20" s="1"/>
  <c r="G67" i="20"/>
  <c r="J67" i="20"/>
  <c r="M67" i="20"/>
  <c r="N67" i="20"/>
  <c r="O67" i="20"/>
  <c r="P67" i="20"/>
  <c r="S67" i="20"/>
  <c r="V67" i="20"/>
  <c r="Y67" i="20"/>
  <c r="Z67" i="20"/>
  <c r="AA67" i="20"/>
  <c r="AE67" i="20"/>
  <c r="AH67" i="20"/>
  <c r="AK67" i="20"/>
  <c r="AL67" i="20"/>
  <c r="AM67" i="20"/>
  <c r="AN67" i="20" s="1"/>
  <c r="AQ67" i="20"/>
  <c r="AT67" i="20"/>
  <c r="AW67" i="20"/>
  <c r="AX67" i="20"/>
  <c r="AY67" i="20"/>
  <c r="AZ67" i="20" s="1"/>
  <c r="E68" i="20"/>
  <c r="F68" i="20"/>
  <c r="G68" i="20"/>
  <c r="H68" i="20"/>
  <c r="I68" i="20"/>
  <c r="K68" i="20"/>
  <c r="L68" i="20"/>
  <c r="O68" i="20" s="1"/>
  <c r="M68" i="20"/>
  <c r="Q68" i="20"/>
  <c r="R68" i="20"/>
  <c r="T68" i="20"/>
  <c r="U68" i="20"/>
  <c r="W68" i="20"/>
  <c r="X68" i="20"/>
  <c r="Y68" i="20"/>
  <c r="AA68" i="20"/>
  <c r="AC68" i="20"/>
  <c r="AD68" i="20"/>
  <c r="AE68" i="20"/>
  <c r="AF68" i="20"/>
  <c r="AG68" i="20"/>
  <c r="AI68" i="20"/>
  <c r="AJ68" i="20"/>
  <c r="AM68" i="20" s="1"/>
  <c r="AO68" i="20"/>
  <c r="AP68" i="20"/>
  <c r="AR68" i="20"/>
  <c r="AS68" i="20"/>
  <c r="AU68" i="20"/>
  <c r="AW68" i="20" s="1"/>
  <c r="AV68" i="20"/>
  <c r="A4" i="19"/>
  <c r="A5" i="19"/>
  <c r="C5" i="19"/>
  <c r="A6" i="19"/>
  <c r="C6" i="19"/>
  <c r="A7" i="19"/>
  <c r="C7" i="19"/>
  <c r="A8" i="19"/>
  <c r="C8" i="19"/>
  <c r="A9" i="19"/>
  <c r="C9" i="19"/>
  <c r="A10" i="19"/>
  <c r="C10" i="19"/>
  <c r="A11" i="19"/>
  <c r="C11" i="19"/>
  <c r="A12" i="19"/>
  <c r="A13" i="19"/>
  <c r="D13" i="19"/>
  <c r="A14" i="19"/>
  <c r="A15" i="19"/>
  <c r="C15" i="19"/>
  <c r="A16" i="19"/>
  <c r="A17" i="19"/>
  <c r="A18" i="19"/>
  <c r="A19" i="19"/>
  <c r="A20" i="19"/>
  <c r="A21" i="19"/>
  <c r="A22" i="19"/>
  <c r="A23" i="19"/>
  <c r="A24" i="19"/>
  <c r="C5" i="18"/>
  <c r="F5" i="18" s="1"/>
  <c r="H5" i="18"/>
  <c r="C6" i="18"/>
  <c r="F6" i="18" s="1"/>
  <c r="C7" i="18"/>
  <c r="F7" i="18" s="1"/>
  <c r="C9" i="18"/>
  <c r="C10" i="18"/>
  <c r="C15" i="18" s="1"/>
  <c r="C11" i="18"/>
  <c r="C12" i="18"/>
  <c r="C13" i="18"/>
  <c r="C14" i="18"/>
  <c r="C5" i="17"/>
  <c r="C6" i="17"/>
  <c r="C7" i="17"/>
  <c r="C9" i="17"/>
  <c r="C10" i="17"/>
  <c r="C11" i="17"/>
  <c r="C12" i="17"/>
  <c r="C13" i="17"/>
  <c r="C14" i="17"/>
  <c r="C15" i="17"/>
  <c r="C16" i="17"/>
  <c r="C5" i="16"/>
  <c r="D5" i="16"/>
  <c r="F5" i="16"/>
  <c r="C6" i="16"/>
  <c r="D6" i="16"/>
  <c r="H6" i="16"/>
  <c r="G8" i="16"/>
  <c r="C10" i="16"/>
  <c r="D10" i="16"/>
  <c r="E10" i="16"/>
  <c r="H10" i="16"/>
  <c r="C11" i="16"/>
  <c r="D11" i="16"/>
  <c r="C12" i="16"/>
  <c r="E12" i="16" s="1"/>
  <c r="D12" i="16"/>
  <c r="H12" i="16" s="1"/>
  <c r="C13" i="16"/>
  <c r="D13" i="16"/>
  <c r="E13" i="16" s="1"/>
  <c r="C14" i="16"/>
  <c r="D14" i="16"/>
  <c r="E14" i="16"/>
  <c r="H14" i="16"/>
  <c r="C15" i="16"/>
  <c r="D15" i="16"/>
  <c r="C16" i="16"/>
  <c r="D16" i="16"/>
  <c r="D17" i="16"/>
  <c r="G17" i="16"/>
  <c r="G21" i="16"/>
  <c r="D12" i="19" s="1"/>
  <c r="C23" i="16"/>
  <c r="D23" i="16"/>
  <c r="C24" i="16"/>
  <c r="D24" i="16"/>
  <c r="C25" i="16"/>
  <c r="D25" i="16"/>
  <c r="C26" i="16"/>
  <c r="D26" i="16"/>
  <c r="C27" i="16"/>
  <c r="D27" i="16"/>
  <c r="E27" i="16" s="1"/>
  <c r="G27" i="16"/>
  <c r="C6" i="15"/>
  <c r="D6" i="15" s="1"/>
  <c r="I6" i="15" s="1"/>
  <c r="C11" i="15"/>
  <c r="D11" i="15" s="1"/>
  <c r="C16" i="15"/>
  <c r="D16" i="15"/>
  <c r="E16" i="15"/>
  <c r="C17" i="15"/>
  <c r="D17" i="15" s="1"/>
  <c r="C18" i="15"/>
  <c r="D18" i="15" s="1"/>
  <c r="C19" i="15"/>
  <c r="C21" i="15"/>
  <c r="D21" i="15" s="1"/>
  <c r="E21" i="15"/>
  <c r="C22" i="15"/>
  <c r="D22" i="15" s="1"/>
  <c r="C23" i="15"/>
  <c r="D23" i="15"/>
  <c r="D24" i="15" s="1"/>
  <c r="C24" i="15"/>
  <c r="C26" i="15"/>
  <c r="D26" i="15"/>
  <c r="E26" i="15"/>
  <c r="C27" i="15"/>
  <c r="D27" i="15" s="1"/>
  <c r="C28" i="15"/>
  <c r="D28" i="15"/>
  <c r="C29" i="15"/>
  <c r="C31" i="15"/>
  <c r="D31" i="15" s="1"/>
  <c r="E31" i="15"/>
  <c r="C32" i="15"/>
  <c r="D32" i="15"/>
  <c r="C33" i="15"/>
  <c r="C34" i="15" s="1"/>
  <c r="D33" i="15"/>
  <c r="D34" i="15"/>
  <c r="C36" i="15"/>
  <c r="D36" i="15" s="1"/>
  <c r="E36" i="15"/>
  <c r="C37" i="15"/>
  <c r="D37" i="15" s="1"/>
  <c r="C38" i="15"/>
  <c r="D38" i="15" s="1"/>
  <c r="C39" i="15"/>
  <c r="C41" i="15"/>
  <c r="D41" i="15" s="1"/>
  <c r="E41" i="15"/>
  <c r="C42" i="15"/>
  <c r="D42" i="15" s="1"/>
  <c r="C43" i="15"/>
  <c r="D43" i="15"/>
  <c r="C46" i="15"/>
  <c r="D46" i="15"/>
  <c r="E46" i="15"/>
  <c r="C47" i="15"/>
  <c r="D47" i="15" s="1"/>
  <c r="C48" i="15"/>
  <c r="D48" i="15" s="1"/>
  <c r="C49" i="15"/>
  <c r="C52" i="15"/>
  <c r="G52" i="15"/>
  <c r="D53" i="15"/>
  <c r="C54" i="15"/>
  <c r="D54" i="15" s="1"/>
  <c r="C57" i="15"/>
  <c r="D63" i="15"/>
  <c r="C64" i="15"/>
  <c r="D64" i="15" s="1"/>
  <c r="D4" i="14"/>
  <c r="B5" i="14"/>
  <c r="E5" i="14"/>
  <c r="F5" i="14" s="1"/>
  <c r="B6" i="14"/>
  <c r="D6" i="14"/>
  <c r="B7" i="14"/>
  <c r="B8" i="14"/>
  <c r="B9" i="14"/>
  <c r="B10" i="14"/>
  <c r="B11" i="14"/>
  <c r="B12" i="14"/>
  <c r="B13" i="14"/>
  <c r="B14" i="14"/>
  <c r="B15" i="14"/>
  <c r="D15" i="14"/>
  <c r="F15" i="14" s="1"/>
  <c r="E15" i="14"/>
  <c r="D16" i="14"/>
  <c r="B17" i="14"/>
  <c r="E17" i="14"/>
  <c r="F17" i="14" s="1"/>
  <c r="B18" i="14"/>
  <c r="D18" i="14"/>
  <c r="B19" i="14"/>
  <c r="B20" i="14"/>
  <c r="B21" i="14"/>
  <c r="B22" i="14"/>
  <c r="B23" i="14"/>
  <c r="B24" i="14"/>
  <c r="B25" i="14"/>
  <c r="B26" i="14"/>
  <c r="B27" i="14"/>
  <c r="D27" i="14"/>
  <c r="F27" i="14" s="1"/>
  <c r="E27" i="14"/>
  <c r="D28" i="14"/>
  <c r="B29" i="14"/>
  <c r="E29" i="14"/>
  <c r="F29" i="14" s="1"/>
  <c r="B30" i="14"/>
  <c r="D30" i="14"/>
  <c r="B31" i="14"/>
  <c r="B32" i="14"/>
  <c r="B33" i="14"/>
  <c r="B34" i="14"/>
  <c r="B35" i="14"/>
  <c r="B36" i="14"/>
  <c r="B37" i="14"/>
  <c r="B38" i="14"/>
  <c r="B39" i="14"/>
  <c r="D39" i="14"/>
  <c r="E39" i="14"/>
  <c r="D40" i="14"/>
  <c r="B41" i="14"/>
  <c r="E41" i="14"/>
  <c r="F41" i="14" s="1"/>
  <c r="B42" i="14"/>
  <c r="D42" i="14"/>
  <c r="B43" i="14"/>
  <c r="B44" i="14"/>
  <c r="D44" i="14"/>
  <c r="G44" i="14" s="1"/>
  <c r="H44" i="14" s="1"/>
  <c r="B45" i="14"/>
  <c r="B46" i="14"/>
  <c r="B47" i="14"/>
  <c r="B48" i="14"/>
  <c r="B49" i="14"/>
  <c r="D49" i="14"/>
  <c r="D46" i="14" s="1"/>
  <c r="G46" i="14" s="1"/>
  <c r="H46" i="14" s="1"/>
  <c r="B50" i="14"/>
  <c r="B51" i="14"/>
  <c r="D51" i="14"/>
  <c r="E51" i="14"/>
  <c r="D52" i="14"/>
  <c r="B53" i="14"/>
  <c r="E53" i="14"/>
  <c r="F53" i="14" s="1"/>
  <c r="B54" i="14"/>
  <c r="D54" i="14"/>
  <c r="B55" i="14"/>
  <c r="B56" i="14"/>
  <c r="D56" i="14"/>
  <c r="G56" i="14" s="1"/>
  <c r="H56" i="14" s="1"/>
  <c r="B57" i="14"/>
  <c r="B58" i="14"/>
  <c r="B59" i="14"/>
  <c r="B60" i="14"/>
  <c r="B61" i="14"/>
  <c r="B62" i="14"/>
  <c r="B63" i="14"/>
  <c r="D63" i="14"/>
  <c r="F63" i="14" s="1"/>
  <c r="E63" i="14"/>
  <c r="D64" i="14"/>
  <c r="B65" i="14"/>
  <c r="E65" i="14"/>
  <c r="F65" i="14" s="1"/>
  <c r="B66" i="14"/>
  <c r="D66" i="14"/>
  <c r="D67" i="14" s="1"/>
  <c r="B67" i="14"/>
  <c r="B68" i="14"/>
  <c r="B69" i="14"/>
  <c r="D69" i="14"/>
  <c r="G69" i="14" s="1"/>
  <c r="B70" i="14"/>
  <c r="B71" i="14"/>
  <c r="D71" i="14"/>
  <c r="B72" i="14"/>
  <c r="B73" i="14"/>
  <c r="B74" i="14"/>
  <c r="B75" i="14"/>
  <c r="D75" i="14"/>
  <c r="E75" i="14"/>
  <c r="F75" i="14"/>
  <c r="D76" i="14"/>
  <c r="B77" i="14"/>
  <c r="E77" i="14"/>
  <c r="F77" i="14"/>
  <c r="D78" i="14"/>
  <c r="B79" i="14"/>
  <c r="D79" i="14"/>
  <c r="D80" i="14"/>
  <c r="G80" i="14" s="1"/>
  <c r="H80" i="14" s="1"/>
  <c r="D81" i="14"/>
  <c r="G81" i="14" s="1"/>
  <c r="H81" i="14" s="1"/>
  <c r="B82" i="14"/>
  <c r="D83" i="14"/>
  <c r="B87" i="14"/>
  <c r="D87" i="14"/>
  <c r="E87" i="14"/>
  <c r="F87" i="14" s="1"/>
  <c r="B89" i="14"/>
  <c r="D89" i="14"/>
  <c r="B90" i="14"/>
  <c r="B91" i="14"/>
  <c r="B92" i="14"/>
  <c r="B93" i="14"/>
  <c r="B94" i="14"/>
  <c r="B95" i="14"/>
  <c r="B96" i="14"/>
  <c r="D96" i="14"/>
  <c r="D99" i="14" s="1"/>
  <c r="B97" i="14"/>
  <c r="B98" i="14"/>
  <c r="D98" i="14"/>
  <c r="B99" i="14"/>
  <c r="C5" i="13"/>
  <c r="D5" i="13"/>
  <c r="I5" i="13" s="1"/>
  <c r="F5" i="13"/>
  <c r="G7" i="15" s="1"/>
  <c r="G5" i="13"/>
  <c r="C6" i="13"/>
  <c r="E5" i="15" s="1"/>
  <c r="F6" i="13"/>
  <c r="G6" i="13" s="1"/>
  <c r="C7" i="13"/>
  <c r="F7" i="13"/>
  <c r="G10" i="15" s="1"/>
  <c r="C9" i="13"/>
  <c r="C10" i="13"/>
  <c r="C13" i="19" s="1"/>
  <c r="D11" i="13"/>
  <c r="C13" i="13"/>
  <c r="C14" i="13"/>
  <c r="C15" i="13"/>
  <c r="C17" i="13" s="1"/>
  <c r="C16" i="13"/>
  <c r="D17" i="13"/>
  <c r="F17" i="13"/>
  <c r="G57" i="15" s="1"/>
  <c r="C19" i="13"/>
  <c r="E62" i="15" s="1"/>
  <c r="F19" i="13"/>
  <c r="G62" i="15" s="1"/>
  <c r="C8" i="12"/>
  <c r="C10" i="12" s="1"/>
  <c r="D8" i="12"/>
  <c r="D10" i="12"/>
  <c r="D11" i="12" s="1"/>
  <c r="E4" i="11"/>
  <c r="E5" i="11"/>
  <c r="E6" i="11"/>
  <c r="E7" i="11"/>
  <c r="E8" i="11"/>
  <c r="E9" i="11"/>
  <c r="E10" i="11"/>
  <c r="E11" i="11"/>
  <c r="E12" i="11"/>
  <c r="E13" i="11"/>
  <c r="C14" i="11"/>
  <c r="D14" i="11"/>
  <c r="C15" i="11"/>
  <c r="D15" i="11"/>
  <c r="E15" i="11" s="1"/>
  <c r="C16" i="11"/>
  <c r="D16" i="11"/>
  <c r="E16" i="11" s="1"/>
  <c r="C17" i="11"/>
  <c r="E18" i="11"/>
  <c r="E20" i="11"/>
  <c r="C21" i="11"/>
  <c r="D21" i="11"/>
  <c r="E21" i="11" s="1"/>
  <c r="E22" i="11"/>
  <c r="C23" i="11"/>
  <c r="D23" i="11"/>
  <c r="E23" i="11" s="1"/>
  <c r="E24" i="11"/>
  <c r="E25" i="11"/>
  <c r="E26" i="11"/>
  <c r="E27" i="11"/>
  <c r="E28" i="11"/>
  <c r="C29" i="11"/>
  <c r="D29" i="11"/>
  <c r="E29" i="11" s="1"/>
  <c r="E30" i="11"/>
  <c r="E31" i="11"/>
  <c r="E32" i="11"/>
  <c r="E33" i="11"/>
  <c r="E34" i="11"/>
  <c r="C35" i="11"/>
  <c r="D35" i="11"/>
  <c r="E35" i="11" s="1"/>
  <c r="E36" i="11"/>
  <c r="E37" i="11"/>
  <c r="E38" i="11"/>
  <c r="D43" i="11"/>
  <c r="E43" i="11" s="1"/>
  <c r="E4" i="10"/>
  <c r="J4" i="10"/>
  <c r="O4" i="10"/>
  <c r="U4" i="10"/>
  <c r="Z4" i="10"/>
  <c r="AE4" i="10"/>
  <c r="AG4" i="10"/>
  <c r="AH4" i="10"/>
  <c r="AI4" i="10"/>
  <c r="AJ4" i="10"/>
  <c r="E5" i="10"/>
  <c r="J5" i="10"/>
  <c r="O5" i="10"/>
  <c r="U5" i="10"/>
  <c r="Z5" i="10"/>
  <c r="D59" i="20" s="1"/>
  <c r="BA59" i="20" s="1"/>
  <c r="BC59" i="20" s="1"/>
  <c r="AE5" i="10"/>
  <c r="AG5" i="10"/>
  <c r="AH5" i="10"/>
  <c r="AI5" i="10"/>
  <c r="E6" i="10"/>
  <c r="J6" i="10"/>
  <c r="Q6" i="10" s="1"/>
  <c r="D41" i="11" s="1"/>
  <c r="E41" i="11" s="1"/>
  <c r="O6" i="10"/>
  <c r="U6" i="10"/>
  <c r="Z6" i="10"/>
  <c r="D60" i="20" s="1"/>
  <c r="BA60" i="20" s="1"/>
  <c r="AE6" i="10"/>
  <c r="AG6" i="10"/>
  <c r="AH6" i="10"/>
  <c r="AI6" i="10"/>
  <c r="E7" i="10"/>
  <c r="J7" i="10"/>
  <c r="O7" i="10"/>
  <c r="U7" i="10"/>
  <c r="Z7" i="10"/>
  <c r="AE7" i="10"/>
  <c r="AG7" i="10"/>
  <c r="AH7" i="10"/>
  <c r="AI7" i="10"/>
  <c r="E8" i="10"/>
  <c r="J8" i="10"/>
  <c r="O8" i="10"/>
  <c r="Q8" i="10" s="1"/>
  <c r="U8" i="10"/>
  <c r="Z8" i="10"/>
  <c r="AE8" i="10"/>
  <c r="AG8" i="10"/>
  <c r="AH8" i="10"/>
  <c r="AI8" i="10"/>
  <c r="AJ8" i="10"/>
  <c r="E9" i="10"/>
  <c r="J9" i="10"/>
  <c r="O9" i="10"/>
  <c r="U9" i="10"/>
  <c r="Z9" i="10"/>
  <c r="D63" i="20" s="1"/>
  <c r="BA63" i="20" s="1"/>
  <c r="AE9" i="10"/>
  <c r="AG9" i="10"/>
  <c r="AH9" i="10"/>
  <c r="AI9" i="10"/>
  <c r="E10" i="10"/>
  <c r="J10" i="10"/>
  <c r="Q10" i="10" s="1"/>
  <c r="D45" i="11" s="1"/>
  <c r="E45" i="11" s="1"/>
  <c r="O10" i="10"/>
  <c r="U10" i="10"/>
  <c r="Z10" i="10"/>
  <c r="D64" i="20" s="1"/>
  <c r="BA64" i="20" s="1"/>
  <c r="AE10" i="10"/>
  <c r="AG10" i="10"/>
  <c r="AH10" i="10"/>
  <c r="AI10" i="10"/>
  <c r="E11" i="10"/>
  <c r="J11" i="10"/>
  <c r="O11" i="10"/>
  <c r="U11" i="10"/>
  <c r="Z11" i="10"/>
  <c r="AE11" i="10"/>
  <c r="AG11" i="10"/>
  <c r="AH11" i="10"/>
  <c r="AI11" i="10"/>
  <c r="E12" i="10"/>
  <c r="J12" i="10"/>
  <c r="O12" i="10"/>
  <c r="Q12" i="10" s="1"/>
  <c r="D47" i="11" s="1"/>
  <c r="E47" i="11" s="1"/>
  <c r="U12" i="10"/>
  <c r="Z12" i="10"/>
  <c r="AE12" i="10"/>
  <c r="AG12" i="10"/>
  <c r="AH12" i="10"/>
  <c r="AI12" i="10"/>
  <c r="AJ12" i="10"/>
  <c r="E13" i="10"/>
  <c r="J13" i="10"/>
  <c r="O13" i="10"/>
  <c r="U13" i="10"/>
  <c r="Z13" i="10"/>
  <c r="AE13" i="10"/>
  <c r="AG13" i="10"/>
  <c r="AH13" i="10"/>
  <c r="AI13" i="10"/>
  <c r="C14" i="10"/>
  <c r="D14" i="10"/>
  <c r="G14" i="10"/>
  <c r="H14" i="10"/>
  <c r="I14" i="10"/>
  <c r="AI14" i="10" s="1"/>
  <c r="L14" i="10"/>
  <c r="M14" i="10"/>
  <c r="N14" i="10"/>
  <c r="R14" i="10"/>
  <c r="AG14" i="10" s="1"/>
  <c r="T14" i="10"/>
  <c r="W14" i="10"/>
  <c r="X14" i="10"/>
  <c r="Y14" i="10"/>
  <c r="AB14" i="10"/>
  <c r="AC14" i="10"/>
  <c r="AD14" i="10"/>
  <c r="AE14" i="10"/>
  <c r="AH14" i="10"/>
  <c r="D7" i="9"/>
  <c r="L7" i="9"/>
  <c r="D8" i="9"/>
  <c r="L8" i="9"/>
  <c r="N8" i="9" s="1"/>
  <c r="O8" i="9"/>
  <c r="D9" i="9"/>
  <c r="M9" i="9" s="1"/>
  <c r="L9" i="9"/>
  <c r="N9" i="9"/>
  <c r="O9" i="9"/>
  <c r="D10" i="9"/>
  <c r="L10" i="9"/>
  <c r="M10" i="9"/>
  <c r="N10" i="9"/>
  <c r="O10" i="9"/>
  <c r="D11" i="9"/>
  <c r="L11" i="9"/>
  <c r="M11" i="9"/>
  <c r="D12" i="9"/>
  <c r="L12" i="9"/>
  <c r="N12" i="9" s="1"/>
  <c r="O12" i="9"/>
  <c r="C13" i="9"/>
  <c r="E13" i="9"/>
  <c r="F13" i="9"/>
  <c r="G13" i="9"/>
  <c r="H13" i="9"/>
  <c r="I13" i="9"/>
  <c r="J13" i="9"/>
  <c r="K13" i="9"/>
  <c r="D15" i="9"/>
  <c r="L15" i="9"/>
  <c r="N15" i="9"/>
  <c r="O15" i="9"/>
  <c r="D16" i="9"/>
  <c r="L16" i="9"/>
  <c r="M16" i="9"/>
  <c r="N16" i="9"/>
  <c r="O16" i="9"/>
  <c r="D17" i="9"/>
  <c r="L17" i="9"/>
  <c r="M17" i="9"/>
  <c r="D18" i="9"/>
  <c r="L18" i="9"/>
  <c r="N18" i="9" s="1"/>
  <c r="O18" i="9"/>
  <c r="D19" i="9"/>
  <c r="M19" i="9" s="1"/>
  <c r="L19" i="9"/>
  <c r="N19" i="9"/>
  <c r="O19" i="9"/>
  <c r="C20" i="9"/>
  <c r="E20" i="9"/>
  <c r="F20" i="9"/>
  <c r="G20" i="9"/>
  <c r="H20" i="9"/>
  <c r="I20" i="9"/>
  <c r="J20" i="9"/>
  <c r="K20" i="9"/>
  <c r="D22" i="9"/>
  <c r="L22" i="9"/>
  <c r="M22" i="9"/>
  <c r="N22" i="9"/>
  <c r="O22" i="9"/>
  <c r="D23" i="9"/>
  <c r="L23" i="9"/>
  <c r="D24" i="9"/>
  <c r="L24" i="9"/>
  <c r="N24" i="9" s="1"/>
  <c r="O24" i="9"/>
  <c r="D25" i="9"/>
  <c r="M25" i="9" s="1"/>
  <c r="L25" i="9"/>
  <c r="N25" i="9"/>
  <c r="O25" i="9"/>
  <c r="D26" i="9"/>
  <c r="L26" i="9"/>
  <c r="M26" i="9"/>
  <c r="N26" i="9"/>
  <c r="O26" i="9"/>
  <c r="C27" i="9"/>
  <c r="D27" i="9"/>
  <c r="E27" i="9"/>
  <c r="F27" i="9"/>
  <c r="G27" i="9"/>
  <c r="H27" i="9"/>
  <c r="I27" i="9"/>
  <c r="J27" i="9"/>
  <c r="K27" i="9"/>
  <c r="D29" i="9"/>
  <c r="L29" i="9"/>
  <c r="M29" i="9"/>
  <c r="D30" i="9"/>
  <c r="M30" i="9" s="1"/>
  <c r="L30" i="9"/>
  <c r="N30" i="9" s="1"/>
  <c r="O30" i="9"/>
  <c r="D31" i="9"/>
  <c r="L31" i="9"/>
  <c r="N31" i="9"/>
  <c r="O31" i="9"/>
  <c r="D32" i="9"/>
  <c r="L32" i="9"/>
  <c r="M32" i="9"/>
  <c r="N32" i="9"/>
  <c r="O32" i="9"/>
  <c r="D33" i="9"/>
  <c r="L33" i="9"/>
  <c r="M33" i="9"/>
  <c r="C34" i="9"/>
  <c r="D34" i="9"/>
  <c r="E34" i="9"/>
  <c r="F34" i="9"/>
  <c r="G34" i="9"/>
  <c r="H34" i="9"/>
  <c r="I34" i="9"/>
  <c r="J34" i="9"/>
  <c r="K34" i="9"/>
  <c r="L34" i="9"/>
  <c r="D36" i="9"/>
  <c r="L36" i="9"/>
  <c r="O36" i="9"/>
  <c r="D37" i="9"/>
  <c r="M37" i="9" s="1"/>
  <c r="L37" i="9"/>
  <c r="N37" i="9"/>
  <c r="O37" i="9"/>
  <c r="D38" i="9"/>
  <c r="L38" i="9"/>
  <c r="M38" i="9"/>
  <c r="N38" i="9"/>
  <c r="O38" i="9"/>
  <c r="D39" i="9"/>
  <c r="L39" i="9"/>
  <c r="M39" i="9"/>
  <c r="D40" i="9"/>
  <c r="M40" i="9" s="1"/>
  <c r="L40" i="9"/>
  <c r="N40" i="9" s="1"/>
  <c r="O40" i="9"/>
  <c r="C41" i="9"/>
  <c r="E41" i="9"/>
  <c r="F41" i="9"/>
  <c r="G41" i="9"/>
  <c r="H41" i="9"/>
  <c r="I41" i="9"/>
  <c r="J41" i="9"/>
  <c r="K41" i="9"/>
  <c r="D43" i="9"/>
  <c r="L43" i="9"/>
  <c r="N43" i="9"/>
  <c r="O43" i="9"/>
  <c r="D44" i="9"/>
  <c r="L44" i="9"/>
  <c r="M44" i="9"/>
  <c r="N44" i="9"/>
  <c r="O44" i="9"/>
  <c r="D45" i="9"/>
  <c r="L45" i="9"/>
  <c r="M45" i="9"/>
  <c r="D46" i="9"/>
  <c r="M46" i="9" s="1"/>
  <c r="L46" i="9"/>
  <c r="N46" i="9" s="1"/>
  <c r="O46" i="9"/>
  <c r="D47" i="9"/>
  <c r="M47" i="9" s="1"/>
  <c r="L47" i="9"/>
  <c r="N47" i="9"/>
  <c r="O47" i="9"/>
  <c r="C48" i="9"/>
  <c r="E48" i="9"/>
  <c r="F48" i="9"/>
  <c r="G48" i="9"/>
  <c r="H48" i="9"/>
  <c r="I48" i="9"/>
  <c r="J48" i="9"/>
  <c r="K48" i="9"/>
  <c r="D50" i="9"/>
  <c r="L50" i="9"/>
  <c r="M50" i="9"/>
  <c r="N50" i="9"/>
  <c r="O50" i="9"/>
  <c r="D51" i="9"/>
  <c r="L51" i="9"/>
  <c r="M51" i="9"/>
  <c r="D52" i="9"/>
  <c r="L52" i="9"/>
  <c r="N52" i="9" s="1"/>
  <c r="O52" i="9"/>
  <c r="D53" i="9"/>
  <c r="L53" i="9"/>
  <c r="N53" i="9"/>
  <c r="O53" i="9"/>
  <c r="D54" i="9"/>
  <c r="L54" i="9"/>
  <c r="M54" i="9"/>
  <c r="N54" i="9"/>
  <c r="O54" i="9"/>
  <c r="C55" i="9"/>
  <c r="E55" i="9"/>
  <c r="F55" i="9"/>
  <c r="G55" i="9"/>
  <c r="H55" i="9"/>
  <c r="I55" i="9"/>
  <c r="J55" i="9"/>
  <c r="K55" i="9"/>
  <c r="D57" i="9"/>
  <c r="L57" i="9"/>
  <c r="M57" i="9"/>
  <c r="D58" i="9"/>
  <c r="L58" i="9"/>
  <c r="D59" i="9"/>
  <c r="M59" i="9" s="1"/>
  <c r="L59" i="9"/>
  <c r="N59" i="9"/>
  <c r="O59" i="9"/>
  <c r="D60" i="9"/>
  <c r="L60" i="9"/>
  <c r="M60" i="9"/>
  <c r="N60" i="9"/>
  <c r="O60" i="9"/>
  <c r="D61" i="9"/>
  <c r="L61" i="9"/>
  <c r="C62" i="9"/>
  <c r="E62" i="9"/>
  <c r="F62" i="9"/>
  <c r="G62" i="9"/>
  <c r="H62" i="9"/>
  <c r="I62" i="9"/>
  <c r="J62" i="9"/>
  <c r="K62" i="9"/>
  <c r="D64" i="9"/>
  <c r="L64" i="9"/>
  <c r="O64" i="9"/>
  <c r="D65" i="9"/>
  <c r="M65" i="9" s="1"/>
  <c r="L65" i="9"/>
  <c r="N65" i="9"/>
  <c r="O65" i="9"/>
  <c r="D66" i="9"/>
  <c r="L66" i="9"/>
  <c r="M66" i="9"/>
  <c r="N66" i="9"/>
  <c r="O66" i="9"/>
  <c r="D67" i="9"/>
  <c r="L67" i="9"/>
  <c r="M67" i="9"/>
  <c r="D68" i="9"/>
  <c r="L68" i="9"/>
  <c r="C69" i="9"/>
  <c r="E69" i="9"/>
  <c r="F69" i="9"/>
  <c r="G69" i="9"/>
  <c r="H69" i="9"/>
  <c r="I69" i="9"/>
  <c r="J69" i="9"/>
  <c r="K69" i="9"/>
  <c r="D71" i="9"/>
  <c r="L71" i="9"/>
  <c r="N71" i="9"/>
  <c r="O71" i="9"/>
  <c r="D72" i="9"/>
  <c r="L72" i="9"/>
  <c r="M72" i="9"/>
  <c r="N72" i="9"/>
  <c r="O72" i="9"/>
  <c r="D73" i="9"/>
  <c r="L73" i="9"/>
  <c r="M73" i="9"/>
  <c r="D74" i="9"/>
  <c r="L74" i="9"/>
  <c r="D75" i="9"/>
  <c r="M75" i="9" s="1"/>
  <c r="L75" i="9"/>
  <c r="N75" i="9"/>
  <c r="O75" i="9"/>
  <c r="C76" i="9"/>
  <c r="E76" i="9"/>
  <c r="F76" i="9"/>
  <c r="G76" i="9"/>
  <c r="H76" i="9"/>
  <c r="I76" i="9"/>
  <c r="J76" i="9"/>
  <c r="K76" i="9"/>
  <c r="C77" i="9"/>
  <c r="E77" i="9"/>
  <c r="F77" i="9"/>
  <c r="G77" i="9"/>
  <c r="D7" i="13" s="1"/>
  <c r="I7" i="13" s="1"/>
  <c r="H77" i="9"/>
  <c r="I77" i="9"/>
  <c r="J77" i="9"/>
  <c r="K77" i="9"/>
  <c r="C62" i="15" s="1"/>
  <c r="M77" i="9"/>
  <c r="C78" i="9"/>
  <c r="D78" i="9"/>
  <c r="E78" i="9"/>
  <c r="F78" i="9"/>
  <c r="C7" i="15" s="1"/>
  <c r="D7" i="15" s="1"/>
  <c r="G78" i="9"/>
  <c r="C12" i="15" s="1"/>
  <c r="D12" i="15" s="1"/>
  <c r="H78" i="9"/>
  <c r="I78" i="9"/>
  <c r="J78" i="9"/>
  <c r="C59" i="15" s="1"/>
  <c r="D59" i="15" s="1"/>
  <c r="K78" i="9"/>
  <c r="L78" i="9"/>
  <c r="O78" i="9" s="1"/>
  <c r="C79" i="9"/>
  <c r="M79" i="9" s="1"/>
  <c r="E79" i="9"/>
  <c r="F79" i="9"/>
  <c r="G79" i="9"/>
  <c r="H79" i="9"/>
  <c r="I79" i="9"/>
  <c r="C53" i="15" s="1"/>
  <c r="J79" i="9"/>
  <c r="C58" i="15" s="1"/>
  <c r="D58" i="15" s="1"/>
  <c r="K79" i="9"/>
  <c r="C63" i="15" s="1"/>
  <c r="C80" i="9"/>
  <c r="D80" i="9"/>
  <c r="E80" i="9"/>
  <c r="F80" i="9"/>
  <c r="G80" i="9"/>
  <c r="G83" i="9" s="1"/>
  <c r="H80" i="9"/>
  <c r="I80" i="9"/>
  <c r="J80" i="9"/>
  <c r="K80" i="9"/>
  <c r="K83" i="9" s="1"/>
  <c r="L80" i="9"/>
  <c r="N80" i="9"/>
  <c r="O80" i="9"/>
  <c r="C81" i="9"/>
  <c r="M81" i="9" s="1"/>
  <c r="E81" i="9"/>
  <c r="F81" i="9"/>
  <c r="G81" i="9"/>
  <c r="H81" i="9"/>
  <c r="I81" i="9"/>
  <c r="J81" i="9"/>
  <c r="K81" i="9"/>
  <c r="C82" i="9"/>
  <c r="E82" i="9"/>
  <c r="F82" i="9"/>
  <c r="G82" i="9"/>
  <c r="H82" i="9"/>
  <c r="I82" i="9"/>
  <c r="J82" i="9"/>
  <c r="K82" i="9"/>
  <c r="H83" i="9"/>
  <c r="I83" i="9"/>
  <c r="G5" i="8"/>
  <c r="G19" i="8" s="1"/>
  <c r="H5" i="8"/>
  <c r="L5" i="8"/>
  <c r="M5" i="8"/>
  <c r="G6" i="8"/>
  <c r="H6" i="8"/>
  <c r="L6" i="8"/>
  <c r="M6" i="8"/>
  <c r="G7" i="8"/>
  <c r="H7" i="8"/>
  <c r="L7" i="8"/>
  <c r="M7" i="8"/>
  <c r="P7" i="8"/>
  <c r="G8" i="8"/>
  <c r="H8" i="8"/>
  <c r="M8" i="8"/>
  <c r="G9" i="8"/>
  <c r="H9" i="8"/>
  <c r="L9" i="8"/>
  <c r="M9" i="8"/>
  <c r="G10" i="8"/>
  <c r="H10" i="8"/>
  <c r="K10" i="8"/>
  <c r="L10" i="8"/>
  <c r="M10" i="8"/>
  <c r="P10" i="8"/>
  <c r="G11" i="8"/>
  <c r="H11" i="8"/>
  <c r="L11" i="8"/>
  <c r="M11" i="8"/>
  <c r="G12" i="8"/>
  <c r="H12" i="8"/>
  <c r="P12" i="8" s="1"/>
  <c r="M12" i="8"/>
  <c r="G13" i="8"/>
  <c r="H13" i="8"/>
  <c r="L13" i="8"/>
  <c r="M13" i="8"/>
  <c r="G14" i="8"/>
  <c r="H14" i="8"/>
  <c r="L14" i="8"/>
  <c r="M14" i="8"/>
  <c r="G15" i="8"/>
  <c r="H15" i="8"/>
  <c r="L15" i="8"/>
  <c r="M15" i="8"/>
  <c r="P15" i="8"/>
  <c r="G16" i="8"/>
  <c r="H16" i="8"/>
  <c r="M16" i="8"/>
  <c r="G17" i="8"/>
  <c r="H17" i="8"/>
  <c r="L17" i="8"/>
  <c r="M17" i="8"/>
  <c r="P17" i="8"/>
  <c r="G18" i="8"/>
  <c r="H18" i="8"/>
  <c r="L18" i="8"/>
  <c r="M18" i="8"/>
  <c r="P18" i="8"/>
  <c r="C19" i="8"/>
  <c r="D19" i="8"/>
  <c r="L8" i="8" s="1"/>
  <c r="E19" i="8"/>
  <c r="F19" i="8"/>
  <c r="F7" i="7"/>
  <c r="G7" i="7"/>
  <c r="H7" i="7"/>
  <c r="D13" i="14" s="1"/>
  <c r="I7" i="7"/>
  <c r="G8" i="7"/>
  <c r="H8" i="7"/>
  <c r="D25" i="14" s="1"/>
  <c r="I8" i="7"/>
  <c r="F9" i="7"/>
  <c r="G9" i="7"/>
  <c r="H9" i="7"/>
  <c r="D37" i="14" s="1"/>
  <c r="I9" i="7"/>
  <c r="F10" i="7"/>
  <c r="G10" i="7"/>
  <c r="H10" i="7"/>
  <c r="I10" i="7"/>
  <c r="D11" i="7"/>
  <c r="F11" i="7"/>
  <c r="G11" i="7"/>
  <c r="H11" i="7"/>
  <c r="D61" i="14" s="1"/>
  <c r="I11" i="7"/>
  <c r="G12" i="7"/>
  <c r="H12" i="7"/>
  <c r="D73" i="14" s="1"/>
  <c r="I12" i="7"/>
  <c r="F13" i="7"/>
  <c r="G13" i="7"/>
  <c r="H13" i="7"/>
  <c r="I13" i="7"/>
  <c r="F14" i="7"/>
  <c r="G14" i="7"/>
  <c r="H14" i="7"/>
  <c r="D85" i="14" s="1"/>
  <c r="D82" i="14" s="1"/>
  <c r="I14" i="7"/>
  <c r="C15" i="7"/>
  <c r="E15" i="7"/>
  <c r="F8" i="7" s="1"/>
  <c r="D17" i="7"/>
  <c r="F17" i="7"/>
  <c r="G17" i="7"/>
  <c r="H17" i="7"/>
  <c r="I17" i="7"/>
  <c r="G18" i="7"/>
  <c r="H18" i="7"/>
  <c r="I18" i="7"/>
  <c r="F19" i="7"/>
  <c r="G19" i="7"/>
  <c r="H19" i="7"/>
  <c r="I19" i="7"/>
  <c r="F20" i="7"/>
  <c r="G20" i="7"/>
  <c r="H20" i="7"/>
  <c r="I20" i="7"/>
  <c r="C21" i="7"/>
  <c r="E21" i="7"/>
  <c r="F18" i="7" s="1"/>
  <c r="E27" i="7"/>
  <c r="J27" i="7"/>
  <c r="E28" i="7"/>
  <c r="J28" i="7"/>
  <c r="E29" i="7"/>
  <c r="J29" i="7"/>
  <c r="C30" i="7"/>
  <c r="D30" i="7"/>
  <c r="E30" i="7"/>
  <c r="F30" i="7"/>
  <c r="G30" i="7"/>
  <c r="H30" i="7"/>
  <c r="I30" i="7"/>
  <c r="J30" i="7" s="1"/>
  <c r="K30" i="7"/>
  <c r="L30" i="7"/>
  <c r="E35" i="7"/>
  <c r="I35" i="7"/>
  <c r="K35" i="7"/>
  <c r="L35" i="7"/>
  <c r="D4" i="6"/>
  <c r="E4" i="6"/>
  <c r="G4" i="6"/>
  <c r="F6" i="6"/>
  <c r="G6" i="6"/>
  <c r="D9" i="18" s="1"/>
  <c r="E9" i="18" s="1"/>
  <c r="F9" i="18" s="1"/>
  <c r="F7" i="6"/>
  <c r="G7" i="6" s="1"/>
  <c r="D10" i="18" s="1"/>
  <c r="E10" i="18" s="1"/>
  <c r="F10" i="18" s="1"/>
  <c r="E8" i="6"/>
  <c r="F8" i="6"/>
  <c r="G8" i="6" s="1"/>
  <c r="D11" i="18" s="1"/>
  <c r="E11" i="18" s="1"/>
  <c r="F11" i="18" s="1"/>
  <c r="F9" i="6"/>
  <c r="G9" i="6" s="1"/>
  <c r="D12" i="18" s="1"/>
  <c r="E12" i="18" s="1"/>
  <c r="F12" i="18" s="1"/>
  <c r="E10" i="6"/>
  <c r="F10" i="6"/>
  <c r="G10" i="6"/>
  <c r="D13" i="18" s="1"/>
  <c r="E13" i="18" s="1"/>
  <c r="F13" i="18" s="1"/>
  <c r="E11" i="6"/>
  <c r="F11" i="6"/>
  <c r="G11" i="6" s="1"/>
  <c r="D14" i="18" s="1"/>
  <c r="E14" i="18" s="1"/>
  <c r="F14" i="18" s="1"/>
  <c r="F12" i="6"/>
  <c r="G12" i="6"/>
  <c r="E13" i="6"/>
  <c r="F13" i="6"/>
  <c r="G13" i="6" s="1"/>
  <c r="D14" i="6"/>
  <c r="E7" i="6" s="1"/>
  <c r="D15" i="6"/>
  <c r="E15" i="6"/>
  <c r="G15" i="6"/>
  <c r="E17" i="6"/>
  <c r="F17" i="6"/>
  <c r="G17" i="6" s="1"/>
  <c r="G9" i="18" s="1"/>
  <c r="H9" i="18" s="1"/>
  <c r="I9" i="18" s="1"/>
  <c r="F18" i="6"/>
  <c r="G18" i="6"/>
  <c r="G10" i="18" s="1"/>
  <c r="H10" i="18" s="1"/>
  <c r="I10" i="18" s="1"/>
  <c r="E19" i="6"/>
  <c r="F19" i="6"/>
  <c r="G19" i="6" s="1"/>
  <c r="G11" i="18" s="1"/>
  <c r="H11" i="18" s="1"/>
  <c r="I11" i="18" s="1"/>
  <c r="F20" i="6"/>
  <c r="G20" i="6"/>
  <c r="G12" i="18" s="1"/>
  <c r="H12" i="18" s="1"/>
  <c r="I12" i="18" s="1"/>
  <c r="F21" i="6"/>
  <c r="G21" i="6" s="1"/>
  <c r="G13" i="18" s="1"/>
  <c r="H13" i="18" s="1"/>
  <c r="I13" i="18" s="1"/>
  <c r="E22" i="6"/>
  <c r="F22" i="6"/>
  <c r="G22" i="6" s="1"/>
  <c r="G14" i="18" s="1"/>
  <c r="H14" i="18" s="1"/>
  <c r="I14" i="18" s="1"/>
  <c r="F23" i="6"/>
  <c r="G23" i="6" s="1"/>
  <c r="E24" i="6"/>
  <c r="F24" i="6"/>
  <c r="G24" i="6"/>
  <c r="E25" i="6"/>
  <c r="F25" i="6"/>
  <c r="G25" i="6" s="1"/>
  <c r="G6" i="18" s="1"/>
  <c r="H6" i="18" s="1"/>
  <c r="I6" i="18" s="1"/>
  <c r="D27" i="6"/>
  <c r="E18" i="6" s="1"/>
  <c r="D28" i="6"/>
  <c r="E28" i="6"/>
  <c r="G28" i="6"/>
  <c r="F30" i="6"/>
  <c r="G30" i="6" s="1"/>
  <c r="J9" i="18" s="1"/>
  <c r="K9" i="18" s="1"/>
  <c r="L9" i="18" s="1"/>
  <c r="F31" i="6"/>
  <c r="G31" i="6" s="1"/>
  <c r="J10" i="18" s="1"/>
  <c r="K10" i="18" s="1"/>
  <c r="L10" i="18" s="1"/>
  <c r="E32" i="6"/>
  <c r="F32" i="6"/>
  <c r="G32" i="6"/>
  <c r="J11" i="18" s="1"/>
  <c r="K11" i="18" s="1"/>
  <c r="L11" i="18" s="1"/>
  <c r="E33" i="6"/>
  <c r="F33" i="6"/>
  <c r="G33" i="6" s="1"/>
  <c r="J12" i="18" s="1"/>
  <c r="K12" i="18" s="1"/>
  <c r="L12" i="18" s="1"/>
  <c r="F34" i="6"/>
  <c r="G34" i="6"/>
  <c r="J13" i="18" s="1"/>
  <c r="K13" i="18" s="1"/>
  <c r="L13" i="18" s="1"/>
  <c r="E35" i="6"/>
  <c r="F35" i="6"/>
  <c r="G35" i="6" s="1"/>
  <c r="J14" i="18" s="1"/>
  <c r="K14" i="18" s="1"/>
  <c r="L14" i="18" s="1"/>
  <c r="F36" i="6"/>
  <c r="G36" i="6"/>
  <c r="F37" i="6"/>
  <c r="G37" i="6" s="1"/>
  <c r="E38" i="6"/>
  <c r="F38" i="6"/>
  <c r="G38" i="6" s="1"/>
  <c r="J6" i="18" s="1"/>
  <c r="D40" i="6"/>
  <c r="D41" i="6"/>
  <c r="E41" i="6"/>
  <c r="G41" i="6"/>
  <c r="F43" i="6"/>
  <c r="G43" i="6" s="1"/>
  <c r="M9" i="18" s="1"/>
  <c r="N9" i="18" s="1"/>
  <c r="O9" i="18" s="1"/>
  <c r="F44" i="6"/>
  <c r="G44" i="6"/>
  <c r="M10" i="18" s="1"/>
  <c r="N10" i="18" s="1"/>
  <c r="O10" i="18" s="1"/>
  <c r="F45" i="6"/>
  <c r="G45" i="6" s="1"/>
  <c r="M11" i="18" s="1"/>
  <c r="N11" i="18" s="1"/>
  <c r="O11" i="18" s="1"/>
  <c r="F46" i="6"/>
  <c r="G46" i="6" s="1"/>
  <c r="M12" i="18" s="1"/>
  <c r="N12" i="18" s="1"/>
  <c r="O12" i="18" s="1"/>
  <c r="F47" i="6"/>
  <c r="G47" i="6" s="1"/>
  <c r="M13" i="18" s="1"/>
  <c r="N13" i="18" s="1"/>
  <c r="O13" i="18" s="1"/>
  <c r="F48" i="6"/>
  <c r="G48" i="6"/>
  <c r="M14" i="18" s="1"/>
  <c r="N14" i="18" s="1"/>
  <c r="O14" i="18" s="1"/>
  <c r="F49" i="6"/>
  <c r="G49" i="6" s="1"/>
  <c r="F50" i="6"/>
  <c r="G50" i="6"/>
  <c r="F51" i="6"/>
  <c r="G51" i="6" s="1"/>
  <c r="M6" i="18" s="1"/>
  <c r="N6" i="18" s="1"/>
  <c r="O6" i="18" s="1"/>
  <c r="D53" i="6"/>
  <c r="D54" i="6"/>
  <c r="E54" i="6"/>
  <c r="G54" i="6"/>
  <c r="F56" i="6"/>
  <c r="G56" i="6"/>
  <c r="P9" i="18" s="1"/>
  <c r="Q9" i="18" s="1"/>
  <c r="R9" i="18" s="1"/>
  <c r="F57" i="6"/>
  <c r="G57" i="6" s="1"/>
  <c r="P10" i="18" s="1"/>
  <c r="Q10" i="18" s="1"/>
  <c r="R10" i="18" s="1"/>
  <c r="F58" i="6"/>
  <c r="G58" i="6"/>
  <c r="P11" i="18" s="1"/>
  <c r="Q11" i="18" s="1"/>
  <c r="R11" i="18" s="1"/>
  <c r="F59" i="6"/>
  <c r="G59" i="6" s="1"/>
  <c r="P12" i="18" s="1"/>
  <c r="Q12" i="18" s="1"/>
  <c r="R12" i="18" s="1"/>
  <c r="F60" i="6"/>
  <c r="G60" i="6"/>
  <c r="P13" i="18" s="1"/>
  <c r="Q13" i="18" s="1"/>
  <c r="R13" i="18" s="1"/>
  <c r="F61" i="6"/>
  <c r="G61" i="6" s="1"/>
  <c r="P14" i="18" s="1"/>
  <c r="Q14" i="18" s="1"/>
  <c r="R14" i="18" s="1"/>
  <c r="F62" i="6"/>
  <c r="G62" i="6" s="1"/>
  <c r="F63" i="6"/>
  <c r="G63" i="6" s="1"/>
  <c r="F64" i="6"/>
  <c r="G64" i="6"/>
  <c r="P6" i="18" s="1"/>
  <c r="D66" i="6"/>
  <c r="E65" i="6" s="1"/>
  <c r="D4" i="5"/>
  <c r="E4" i="5"/>
  <c r="G4" i="5"/>
  <c r="F6" i="5"/>
  <c r="G6" i="5" s="1"/>
  <c r="D9" i="17" s="1"/>
  <c r="E9" i="17" s="1"/>
  <c r="F9" i="17" s="1"/>
  <c r="F7" i="5"/>
  <c r="G7" i="5" s="1"/>
  <c r="D10" i="17" s="1"/>
  <c r="E10" i="17" s="1"/>
  <c r="F10" i="17" s="1"/>
  <c r="F8" i="5"/>
  <c r="G8" i="5" s="1"/>
  <c r="D11" i="17" s="1"/>
  <c r="E11" i="17" s="1"/>
  <c r="F11" i="17" s="1"/>
  <c r="E9" i="5"/>
  <c r="F9" i="5"/>
  <c r="G9" i="5"/>
  <c r="D12" i="17" s="1"/>
  <c r="E12" i="17" s="1"/>
  <c r="F12" i="17" s="1"/>
  <c r="E10" i="5"/>
  <c r="F10" i="5"/>
  <c r="G10" i="5" s="1"/>
  <c r="D13" i="17" s="1"/>
  <c r="E13" i="17" s="1"/>
  <c r="F13" i="17" s="1"/>
  <c r="F11" i="5"/>
  <c r="G11" i="5"/>
  <c r="D14" i="17" s="1"/>
  <c r="E14" i="17" s="1"/>
  <c r="F14" i="17" s="1"/>
  <c r="E12" i="5"/>
  <c r="F12" i="5"/>
  <c r="G12" i="5" s="1"/>
  <c r="F13" i="5"/>
  <c r="G13" i="5"/>
  <c r="D15" i="17" s="1"/>
  <c r="E15" i="17" s="1"/>
  <c r="F15" i="17" s="1"/>
  <c r="F14" i="5"/>
  <c r="G14" i="5" s="1"/>
  <c r="D6" i="17" s="1"/>
  <c r="E15" i="5"/>
  <c r="D16" i="5"/>
  <c r="D17" i="5"/>
  <c r="E17" i="5"/>
  <c r="G17" i="5"/>
  <c r="F19" i="5"/>
  <c r="G19" i="5"/>
  <c r="G9" i="17" s="1"/>
  <c r="H9" i="17" s="1"/>
  <c r="I9" i="17" s="1"/>
  <c r="E20" i="5"/>
  <c r="F20" i="5"/>
  <c r="G20" i="5" s="1"/>
  <c r="G10" i="17" s="1"/>
  <c r="H10" i="17" s="1"/>
  <c r="I10" i="17" s="1"/>
  <c r="F21" i="5"/>
  <c r="G21" i="5"/>
  <c r="G11" i="17" s="1"/>
  <c r="H11" i="17" s="1"/>
  <c r="I11" i="17" s="1"/>
  <c r="F22" i="5"/>
  <c r="G22" i="5" s="1"/>
  <c r="G12" i="17" s="1"/>
  <c r="H12" i="17" s="1"/>
  <c r="I12" i="17" s="1"/>
  <c r="E23" i="5"/>
  <c r="F23" i="5"/>
  <c r="G23" i="5" s="1"/>
  <c r="G13" i="17" s="1"/>
  <c r="H13" i="17" s="1"/>
  <c r="I13" i="17" s="1"/>
  <c r="F24" i="5"/>
  <c r="G24" i="5" s="1"/>
  <c r="G14" i="17" s="1"/>
  <c r="H14" i="17" s="1"/>
  <c r="I14" i="17" s="1"/>
  <c r="E25" i="5"/>
  <c r="F25" i="5"/>
  <c r="G25" i="5"/>
  <c r="E26" i="5"/>
  <c r="F26" i="5"/>
  <c r="G26" i="5" s="1"/>
  <c r="G15" i="17" s="1"/>
  <c r="H15" i="17" s="1"/>
  <c r="I15" i="17" s="1"/>
  <c r="F27" i="5"/>
  <c r="G27" i="5"/>
  <c r="G6" i="17" s="1"/>
  <c r="E28" i="5"/>
  <c r="D29" i="5"/>
  <c r="E19" i="5" s="1"/>
  <c r="D30" i="5"/>
  <c r="E30" i="5"/>
  <c r="G30" i="5"/>
  <c r="E32" i="5"/>
  <c r="F32" i="5"/>
  <c r="G32" i="5" s="1"/>
  <c r="J9" i="17" s="1"/>
  <c r="K9" i="17" s="1"/>
  <c r="L9" i="17" s="1"/>
  <c r="F33" i="5"/>
  <c r="G33" i="5"/>
  <c r="J10" i="17" s="1"/>
  <c r="K10" i="17" s="1"/>
  <c r="L10" i="17" s="1"/>
  <c r="E34" i="5"/>
  <c r="F34" i="5"/>
  <c r="G34" i="5" s="1"/>
  <c r="J11" i="17" s="1"/>
  <c r="K11" i="17" s="1"/>
  <c r="L11" i="17" s="1"/>
  <c r="F35" i="5"/>
  <c r="G35" i="5"/>
  <c r="J12" i="17" s="1"/>
  <c r="K12" i="17" s="1"/>
  <c r="L12" i="17" s="1"/>
  <c r="F36" i="5"/>
  <c r="G36" i="5" s="1"/>
  <c r="J13" i="17" s="1"/>
  <c r="K13" i="17" s="1"/>
  <c r="L13" i="17" s="1"/>
  <c r="E37" i="5"/>
  <c r="F37" i="5"/>
  <c r="G37" i="5" s="1"/>
  <c r="J14" i="17" s="1"/>
  <c r="K14" i="17" s="1"/>
  <c r="L14" i="17" s="1"/>
  <c r="F38" i="5"/>
  <c r="G38" i="5" s="1"/>
  <c r="E39" i="5"/>
  <c r="F39" i="5"/>
  <c r="G39" i="5"/>
  <c r="J15" i="17" s="1"/>
  <c r="K15" i="17" s="1"/>
  <c r="L15" i="17" s="1"/>
  <c r="E40" i="5"/>
  <c r="F40" i="5"/>
  <c r="G40" i="5" s="1"/>
  <c r="J6" i="17" s="1"/>
  <c r="D42" i="5"/>
  <c r="E33" i="5" s="1"/>
  <c r="D43" i="5"/>
  <c r="E43" i="5"/>
  <c r="G43" i="5"/>
  <c r="F45" i="5"/>
  <c r="G45" i="5" s="1"/>
  <c r="M9" i="17" s="1"/>
  <c r="N9" i="17" s="1"/>
  <c r="O9" i="17" s="1"/>
  <c r="F46" i="5"/>
  <c r="G46" i="5" s="1"/>
  <c r="M10" i="17" s="1"/>
  <c r="N10" i="17" s="1"/>
  <c r="O10" i="17" s="1"/>
  <c r="F47" i="5"/>
  <c r="G47" i="5"/>
  <c r="M11" i="17" s="1"/>
  <c r="N11" i="17" s="1"/>
  <c r="O11" i="17" s="1"/>
  <c r="F48" i="5"/>
  <c r="G48" i="5" s="1"/>
  <c r="M12" i="17" s="1"/>
  <c r="N12" i="17" s="1"/>
  <c r="O12" i="17" s="1"/>
  <c r="F49" i="5"/>
  <c r="G49" i="5"/>
  <c r="M13" i="17" s="1"/>
  <c r="N13" i="17" s="1"/>
  <c r="O13" i="17" s="1"/>
  <c r="F50" i="5"/>
  <c r="G50" i="5" s="1"/>
  <c r="M14" i="17" s="1"/>
  <c r="N14" i="17" s="1"/>
  <c r="O14" i="17" s="1"/>
  <c r="F51" i="5"/>
  <c r="G51" i="5"/>
  <c r="F52" i="5"/>
  <c r="G52" i="5" s="1"/>
  <c r="M15" i="17" s="1"/>
  <c r="N15" i="17" s="1"/>
  <c r="O15" i="17" s="1"/>
  <c r="F53" i="5"/>
  <c r="G53" i="5" s="1"/>
  <c r="M6" i="17" s="1"/>
  <c r="D55" i="5"/>
  <c r="E45" i="5" s="1"/>
  <c r="D56" i="5"/>
  <c r="E56" i="5"/>
  <c r="G56" i="5"/>
  <c r="F58" i="5"/>
  <c r="G58" i="5" s="1"/>
  <c r="P9" i="17" s="1"/>
  <c r="Q9" i="17" s="1"/>
  <c r="R9" i="17" s="1"/>
  <c r="F59" i="5"/>
  <c r="G59" i="5" s="1"/>
  <c r="P10" i="17" s="1"/>
  <c r="Q10" i="17" s="1"/>
  <c r="R10" i="17" s="1"/>
  <c r="F60" i="5"/>
  <c r="G60" i="5" s="1"/>
  <c r="P11" i="17" s="1"/>
  <c r="Q11" i="17" s="1"/>
  <c r="R11" i="17" s="1"/>
  <c r="E61" i="5"/>
  <c r="F61" i="5"/>
  <c r="G61" i="5"/>
  <c r="P12" i="17" s="1"/>
  <c r="Q12" i="17" s="1"/>
  <c r="R12" i="17" s="1"/>
  <c r="E62" i="5"/>
  <c r="F62" i="5"/>
  <c r="G62" i="5" s="1"/>
  <c r="P13" i="17" s="1"/>
  <c r="Q13" i="17" s="1"/>
  <c r="R13" i="17" s="1"/>
  <c r="F63" i="5"/>
  <c r="G63" i="5"/>
  <c r="P14" i="17" s="1"/>
  <c r="Q14" i="17" s="1"/>
  <c r="R14" i="17" s="1"/>
  <c r="E64" i="5"/>
  <c r="F64" i="5"/>
  <c r="G64" i="5" s="1"/>
  <c r="F65" i="5"/>
  <c r="G65" i="5"/>
  <c r="P15" i="17" s="1"/>
  <c r="Q15" i="17" s="1"/>
  <c r="R15" i="17" s="1"/>
  <c r="F66" i="5"/>
  <c r="G66" i="5" s="1"/>
  <c r="P6" i="17" s="1"/>
  <c r="E67" i="5"/>
  <c r="D68" i="5"/>
  <c r="C7" i="4"/>
  <c r="E7" i="4"/>
  <c r="C7" i="16" s="1"/>
  <c r="C8" i="16" s="1"/>
  <c r="F10" i="4"/>
  <c r="F18" i="4" s="1"/>
  <c r="F11" i="4"/>
  <c r="F12" i="4"/>
  <c r="F13" i="4"/>
  <c r="F14" i="4"/>
  <c r="F15" i="4"/>
  <c r="D16" i="4"/>
  <c r="F16" i="4"/>
  <c r="F17" i="4"/>
  <c r="C18" i="4"/>
  <c r="E18" i="4"/>
  <c r="C20" i="4"/>
  <c r="D19" i="16" s="1"/>
  <c r="D20" i="4"/>
  <c r="E20" i="4"/>
  <c r="C19" i="16" s="1"/>
  <c r="F20" i="4"/>
  <c r="C21" i="4"/>
  <c r="D20" i="16" s="1"/>
  <c r="D21" i="4"/>
  <c r="E21" i="4"/>
  <c r="C20" i="16" s="1"/>
  <c r="F21" i="4"/>
  <c r="C22" i="4"/>
  <c r="D22" i="4"/>
  <c r="E22" i="4"/>
  <c r="F22" i="4"/>
  <c r="F24" i="4"/>
  <c r="F28" i="4" s="1"/>
  <c r="F25" i="4"/>
  <c r="F26" i="4"/>
  <c r="F27" i="4"/>
  <c r="C28" i="4"/>
  <c r="D24" i="4" s="1"/>
  <c r="E28" i="4"/>
  <c r="C30" i="4"/>
  <c r="D29" i="16" s="1"/>
  <c r="E30" i="4"/>
  <c r="C29" i="16" s="1"/>
  <c r="L4" i="1"/>
  <c r="M4" i="1"/>
  <c r="N4" i="1"/>
  <c r="O4" i="1"/>
  <c r="P4" i="1"/>
  <c r="Q4" i="1"/>
  <c r="R4" i="1"/>
  <c r="S4" i="1"/>
  <c r="T4" i="1"/>
  <c r="L5" i="1"/>
  <c r="M5" i="1"/>
  <c r="N5" i="1"/>
  <c r="O5" i="1"/>
  <c r="P5" i="1"/>
  <c r="Q5" i="1"/>
  <c r="R5" i="1"/>
  <c r="S5" i="1"/>
  <c r="T5" i="1"/>
  <c r="U5" i="1"/>
  <c r="B6" i="1"/>
  <c r="C6" i="1"/>
  <c r="D6" i="1"/>
  <c r="E6" i="1"/>
  <c r="O6" i="1" s="1"/>
  <c r="F6" i="1"/>
  <c r="G6" i="1"/>
  <c r="H6" i="1"/>
  <c r="I6" i="1"/>
  <c r="S6" i="1" s="1"/>
  <c r="J6" i="1"/>
  <c r="K6" i="1"/>
  <c r="L6" i="1"/>
  <c r="M6" i="1"/>
  <c r="P6" i="1"/>
  <c r="T6" i="1"/>
  <c r="L7" i="1"/>
  <c r="M7" i="1"/>
  <c r="N7" i="1"/>
  <c r="O7" i="1"/>
  <c r="P7" i="1"/>
  <c r="Q7" i="1"/>
  <c r="R7" i="1"/>
  <c r="S7" i="1"/>
  <c r="T7" i="1"/>
  <c r="L8" i="1"/>
  <c r="M8" i="1"/>
  <c r="N8" i="1"/>
  <c r="O8" i="1"/>
  <c r="P8" i="1"/>
  <c r="Q8" i="1"/>
  <c r="R8" i="1"/>
  <c r="S8" i="1"/>
  <c r="T8" i="1"/>
  <c r="U8" i="1"/>
  <c r="L9" i="1"/>
  <c r="M9" i="1"/>
  <c r="N9" i="1"/>
  <c r="O9" i="1"/>
  <c r="P9" i="1"/>
  <c r="Q9" i="1"/>
  <c r="R9" i="1"/>
  <c r="S9" i="1"/>
  <c r="T9" i="1"/>
  <c r="L10" i="1"/>
  <c r="U10" i="1" s="1"/>
  <c r="M10" i="1"/>
  <c r="N10" i="1"/>
  <c r="O10" i="1"/>
  <c r="P10" i="1"/>
  <c r="Q10" i="1"/>
  <c r="R10" i="1"/>
  <c r="S10" i="1"/>
  <c r="T10" i="1"/>
  <c r="L11" i="1"/>
  <c r="M11" i="1"/>
  <c r="N11" i="1"/>
  <c r="U11" i="1" s="1"/>
  <c r="O11" i="1"/>
  <c r="P11" i="1"/>
  <c r="Q11" i="1"/>
  <c r="R11" i="1"/>
  <c r="S11" i="1"/>
  <c r="T11" i="1"/>
  <c r="L12" i="1"/>
  <c r="M12" i="1"/>
  <c r="N12" i="1"/>
  <c r="O12" i="1"/>
  <c r="P12" i="1"/>
  <c r="Q12" i="1"/>
  <c r="U12" i="1" s="1"/>
  <c r="R12" i="1"/>
  <c r="S12" i="1"/>
  <c r="T12" i="1"/>
  <c r="L13" i="1"/>
  <c r="M13" i="1"/>
  <c r="N13" i="1"/>
  <c r="O13" i="1"/>
  <c r="P13" i="1"/>
  <c r="Q13" i="1"/>
  <c r="R13" i="1"/>
  <c r="S13" i="1"/>
  <c r="T13" i="1"/>
  <c r="L15" i="1"/>
  <c r="M15" i="1"/>
  <c r="N15" i="1"/>
  <c r="O15" i="1"/>
  <c r="P15" i="1"/>
  <c r="Q15" i="1"/>
  <c r="R15" i="1"/>
  <c r="S15" i="1"/>
  <c r="T15" i="1"/>
  <c r="U15" i="1"/>
  <c r="L16" i="1"/>
  <c r="M16" i="1"/>
  <c r="N16" i="1"/>
  <c r="O16" i="1"/>
  <c r="P16" i="1"/>
  <c r="Q16" i="1"/>
  <c r="R16" i="1"/>
  <c r="S16" i="1"/>
  <c r="T16" i="1"/>
  <c r="L17" i="1"/>
  <c r="M17" i="1"/>
  <c r="N17" i="1"/>
  <c r="O17" i="1"/>
  <c r="P17" i="1"/>
  <c r="Q17" i="1"/>
  <c r="R17" i="1"/>
  <c r="S17" i="1"/>
  <c r="T17" i="1"/>
  <c r="U17" i="1"/>
  <c r="L18" i="1"/>
  <c r="M18" i="1"/>
  <c r="N18" i="1"/>
  <c r="O18" i="1"/>
  <c r="P18" i="1"/>
  <c r="Q18" i="1"/>
  <c r="R18" i="1"/>
  <c r="S18" i="1"/>
  <c r="T18" i="1"/>
  <c r="L19" i="1"/>
  <c r="U19" i="1" s="1"/>
  <c r="M19" i="1"/>
  <c r="N19" i="1"/>
  <c r="O19" i="1"/>
  <c r="P19" i="1"/>
  <c r="Q19" i="1"/>
  <c r="R19" i="1"/>
  <c r="S19" i="1"/>
  <c r="T19" i="1"/>
  <c r="B20" i="1"/>
  <c r="C20" i="1"/>
  <c r="D20" i="1"/>
  <c r="N20" i="1" s="1"/>
  <c r="E20" i="1"/>
  <c r="O20" i="1" s="1"/>
  <c r="F20" i="1"/>
  <c r="G20" i="1"/>
  <c r="H20" i="1"/>
  <c r="R20" i="1" s="1"/>
  <c r="I20" i="1"/>
  <c r="S20" i="1" s="1"/>
  <c r="J20" i="1"/>
  <c r="K20" i="1"/>
  <c r="L20" i="1"/>
  <c r="P20" i="1"/>
  <c r="T20" i="1"/>
  <c r="B21" i="1"/>
  <c r="C21" i="1"/>
  <c r="D21" i="1"/>
  <c r="N21" i="1" s="1"/>
  <c r="E21" i="1"/>
  <c r="F21" i="1"/>
  <c r="G21" i="1"/>
  <c r="H21" i="1"/>
  <c r="R21" i="1" s="1"/>
  <c r="I21" i="1"/>
  <c r="J21" i="1"/>
  <c r="K21" i="1"/>
  <c r="T21" i="1" s="1"/>
  <c r="L21" i="1"/>
  <c r="O21" i="1"/>
  <c r="P21" i="1"/>
  <c r="Q21" i="1"/>
  <c r="S21" i="1"/>
  <c r="E16" i="2"/>
  <c r="F8" i="2" s="1"/>
  <c r="G21" i="2"/>
  <c r="H21" i="2"/>
  <c r="H32" i="2" s="1"/>
  <c r="I21" i="2"/>
  <c r="G22" i="2"/>
  <c r="H22" i="2"/>
  <c r="I22" i="2"/>
  <c r="I23" i="2" s="1"/>
  <c r="I24" i="2" s="1"/>
  <c r="I25" i="2" s="1"/>
  <c r="I26" i="2" s="1"/>
  <c r="I27" i="2" s="1"/>
  <c r="I28" i="2" s="1"/>
  <c r="I29" i="2" s="1"/>
  <c r="I30" i="2" s="1"/>
  <c r="I31" i="2" s="1"/>
  <c r="G23" i="2"/>
  <c r="H23" i="2"/>
  <c r="G24" i="2"/>
  <c r="H24" i="2"/>
  <c r="G25" i="2"/>
  <c r="H25" i="2"/>
  <c r="G26" i="2"/>
  <c r="H26" i="2"/>
  <c r="G27" i="2"/>
  <c r="H27" i="2"/>
  <c r="G28" i="2"/>
  <c r="H28" i="2"/>
  <c r="G29" i="2"/>
  <c r="H29" i="2"/>
  <c r="G30" i="2"/>
  <c r="H30" i="2"/>
  <c r="G31" i="2"/>
  <c r="H31" i="2"/>
  <c r="E32" i="2"/>
  <c r="F32" i="2"/>
  <c r="J21" i="2" s="1"/>
  <c r="G32" i="2"/>
  <c r="G37" i="2"/>
  <c r="H37" i="2"/>
  <c r="I37" i="2"/>
  <c r="J37" i="2" s="1"/>
  <c r="J38" i="2" s="1"/>
  <c r="J39" i="2" s="1"/>
  <c r="J40" i="2" s="1"/>
  <c r="J41" i="2" s="1"/>
  <c r="J42" i="2" s="1"/>
  <c r="J43" i="2" s="1"/>
  <c r="J44" i="2" s="1"/>
  <c r="J45" i="2" s="1"/>
  <c r="J46" i="2" s="1"/>
  <c r="J47" i="2" s="1"/>
  <c r="G38" i="2"/>
  <c r="H38" i="2"/>
  <c r="I38" i="2"/>
  <c r="G39" i="2"/>
  <c r="H39" i="2"/>
  <c r="I39" i="2"/>
  <c r="G40" i="2"/>
  <c r="H40" i="2"/>
  <c r="I40" i="2"/>
  <c r="G41" i="2"/>
  <c r="H41" i="2"/>
  <c r="I41" i="2"/>
  <c r="G42" i="2"/>
  <c r="H42" i="2"/>
  <c r="I42" i="2"/>
  <c r="G43" i="2"/>
  <c r="H43" i="2"/>
  <c r="I43" i="2"/>
  <c r="G44" i="2"/>
  <c r="H44" i="2"/>
  <c r="I44" i="2"/>
  <c r="G45" i="2"/>
  <c r="H45" i="2"/>
  <c r="I45" i="2"/>
  <c r="G46" i="2"/>
  <c r="H46" i="2"/>
  <c r="I46" i="2"/>
  <c r="G47" i="2"/>
  <c r="H47" i="2"/>
  <c r="I47" i="2"/>
  <c r="E48" i="2"/>
  <c r="F48" i="2"/>
  <c r="G48" i="2"/>
  <c r="F54" i="2"/>
  <c r="F55" i="2"/>
  <c r="F57" i="2"/>
  <c r="F58" i="2"/>
  <c r="F59" i="2"/>
  <c r="F60" i="2"/>
  <c r="F62" i="2"/>
  <c r="F63" i="2"/>
  <c r="E64" i="2"/>
  <c r="F53" i="2" s="1"/>
  <c r="H4" i="3"/>
  <c r="J4" i="3"/>
  <c r="L4" i="3"/>
  <c r="O4" i="3"/>
  <c r="Q4" i="3"/>
  <c r="H5" i="3"/>
  <c r="J5" i="3"/>
  <c r="L5" i="3"/>
  <c r="M5" i="3"/>
  <c r="O5" i="3"/>
  <c r="Q5" i="3"/>
  <c r="H6" i="3"/>
  <c r="J6" i="3"/>
  <c r="L6" i="3"/>
  <c r="O6" i="3"/>
  <c r="Q6" i="3"/>
  <c r="H7" i="3"/>
  <c r="J7" i="3"/>
  <c r="L7" i="3"/>
  <c r="O7" i="3"/>
  <c r="Q7" i="3"/>
  <c r="H8" i="3"/>
  <c r="J8" i="3"/>
  <c r="L8" i="3"/>
  <c r="O8" i="3"/>
  <c r="Q8" i="3"/>
  <c r="H9" i="3"/>
  <c r="J9" i="3"/>
  <c r="L9" i="3"/>
  <c r="M9" i="3"/>
  <c r="O9" i="3"/>
  <c r="Q9" i="3"/>
  <c r="H10" i="3"/>
  <c r="J10" i="3"/>
  <c r="L10" i="3"/>
  <c r="O10" i="3"/>
  <c r="Q10" i="3"/>
  <c r="H11" i="3"/>
  <c r="J11" i="3"/>
  <c r="L11" i="3"/>
  <c r="O11" i="3"/>
  <c r="Q11" i="3"/>
  <c r="H12" i="3"/>
  <c r="J12" i="3"/>
  <c r="L12" i="3"/>
  <c r="O12" i="3"/>
  <c r="Q12" i="3"/>
  <c r="H13" i="3"/>
  <c r="J13" i="3"/>
  <c r="L13" i="3"/>
  <c r="M13" i="3"/>
  <c r="O13" i="3"/>
  <c r="Q13" i="3"/>
  <c r="H14" i="3"/>
  <c r="J14" i="3"/>
  <c r="L14" i="3"/>
  <c r="O14" i="3"/>
  <c r="Q14" i="3"/>
  <c r="H15" i="3"/>
  <c r="J15" i="3"/>
  <c r="L15" i="3"/>
  <c r="O15" i="3"/>
  <c r="Q15" i="3"/>
  <c r="H16" i="3"/>
  <c r="J16" i="3"/>
  <c r="L16" i="3"/>
  <c r="O16" i="3"/>
  <c r="Q16" i="3"/>
  <c r="H17" i="3"/>
  <c r="J17" i="3"/>
  <c r="L17" i="3"/>
  <c r="M17" i="3"/>
  <c r="O17" i="3"/>
  <c r="Q17" i="3"/>
  <c r="H18" i="3"/>
  <c r="J18" i="3"/>
  <c r="L18" i="3"/>
  <c r="O18" i="3"/>
  <c r="Q18" i="3"/>
  <c r="H19" i="3"/>
  <c r="J19" i="3"/>
  <c r="L19" i="3"/>
  <c r="O19" i="3"/>
  <c r="Q19" i="3"/>
  <c r="H20" i="3"/>
  <c r="J20" i="3"/>
  <c r="L20" i="3"/>
  <c r="O20" i="3"/>
  <c r="Q20" i="3"/>
  <c r="H21" i="3"/>
  <c r="J21" i="3"/>
  <c r="L21" i="3"/>
  <c r="M21" i="3"/>
  <c r="O21" i="3"/>
  <c r="Q21" i="3"/>
  <c r="H22" i="3"/>
  <c r="J22" i="3"/>
  <c r="L22" i="3"/>
  <c r="O22" i="3"/>
  <c r="Q22" i="3"/>
  <c r="H23" i="3"/>
  <c r="J23" i="3"/>
  <c r="L23" i="3"/>
  <c r="O23" i="3"/>
  <c r="Q23" i="3"/>
  <c r="H24" i="3"/>
  <c r="J24" i="3"/>
  <c r="L24" i="3"/>
  <c r="O24" i="3"/>
  <c r="Q24" i="3"/>
  <c r="D25" i="3"/>
  <c r="E4" i="3" s="1"/>
  <c r="F25" i="3"/>
  <c r="G25" i="3"/>
  <c r="K25" i="3"/>
  <c r="M4" i="3" s="1"/>
  <c r="N25" i="3"/>
  <c r="P25" i="3"/>
  <c r="B6" i="24"/>
  <c r="B8" i="24"/>
  <c r="D20" i="24"/>
  <c r="H20" i="24" s="1"/>
  <c r="F20" i="24"/>
  <c r="J20" i="24"/>
  <c r="L20" i="24"/>
  <c r="N20" i="24"/>
  <c r="J60" i="24" s="1"/>
  <c r="J62" i="24" s="1"/>
  <c r="N64" i="24" s="1"/>
  <c r="H22" i="24"/>
  <c r="N22" i="24"/>
  <c r="P22" i="24"/>
  <c r="P20" i="24" s="1"/>
  <c r="R22" i="24"/>
  <c r="R20" i="24" s="1"/>
  <c r="T22" i="24"/>
  <c r="H24" i="24"/>
  <c r="N24" i="24"/>
  <c r="P24" i="24"/>
  <c r="T24" i="24" s="1"/>
  <c r="R24" i="24"/>
  <c r="H26" i="24"/>
  <c r="N26" i="24"/>
  <c r="P26" i="24"/>
  <c r="T26" i="24" s="1"/>
  <c r="R26" i="24"/>
  <c r="H28" i="24"/>
  <c r="N28" i="24"/>
  <c r="P28" i="24"/>
  <c r="R28" i="24"/>
  <c r="T28" i="24"/>
  <c r="H30" i="24"/>
  <c r="N30" i="24"/>
  <c r="P30" i="24"/>
  <c r="R30" i="24"/>
  <c r="T30" i="24"/>
  <c r="H32" i="24"/>
  <c r="N32" i="24"/>
  <c r="P32" i="24"/>
  <c r="T32" i="24" s="1"/>
  <c r="R32" i="24"/>
  <c r="H34" i="24"/>
  <c r="N34" i="24"/>
  <c r="P34" i="24"/>
  <c r="T34" i="24" s="1"/>
  <c r="R34" i="24"/>
  <c r="H36" i="24"/>
  <c r="N36" i="24"/>
  <c r="P36" i="24"/>
  <c r="R36" i="24"/>
  <c r="T36" i="24"/>
  <c r="H38" i="24"/>
  <c r="N38" i="24"/>
  <c r="P38" i="24"/>
  <c r="R38" i="24"/>
  <c r="T38" i="24"/>
  <c r="H40" i="24"/>
  <c r="N40" i="24"/>
  <c r="P40" i="24"/>
  <c r="T40" i="24" s="1"/>
  <c r="R40" i="24"/>
  <c r="H42" i="24"/>
  <c r="N42" i="24"/>
  <c r="P42" i="24"/>
  <c r="T42" i="24" s="1"/>
  <c r="R42" i="24"/>
  <c r="H44" i="24"/>
  <c r="N44" i="24"/>
  <c r="P44" i="24"/>
  <c r="R44" i="24"/>
  <c r="T44" i="24"/>
  <c r="H46" i="24"/>
  <c r="N46" i="24"/>
  <c r="P46" i="24"/>
  <c r="R46" i="24"/>
  <c r="T46" i="24"/>
  <c r="H48" i="24"/>
  <c r="N48" i="24"/>
  <c r="P48" i="24"/>
  <c r="T48" i="24" s="1"/>
  <c r="R48" i="24"/>
  <c r="H50" i="24"/>
  <c r="N50" i="24"/>
  <c r="P50" i="24"/>
  <c r="T50" i="24" s="1"/>
  <c r="R50" i="24"/>
  <c r="H52" i="24"/>
  <c r="N52" i="24"/>
  <c r="P52" i="24"/>
  <c r="R52" i="24"/>
  <c r="T52" i="24"/>
  <c r="H54" i="24"/>
  <c r="N54" i="24"/>
  <c r="P54" i="24"/>
  <c r="R54" i="24"/>
  <c r="T54" i="24"/>
  <c r="D58" i="24"/>
  <c r="J58" i="24"/>
  <c r="P58" i="24"/>
  <c r="D60" i="24"/>
  <c r="C7" i="22"/>
  <c r="AY49" i="20"/>
  <c r="AY41" i="20"/>
  <c r="AY37" i="20"/>
  <c r="AY31" i="20"/>
  <c r="AY25" i="20"/>
  <c r="AY21" i="20"/>
  <c r="AY12" i="20"/>
  <c r="J64" i="24" l="1"/>
  <c r="L64" i="24"/>
  <c r="U21" i="1"/>
  <c r="T20" i="24"/>
  <c r="D68" i="14"/>
  <c r="G68" i="14" s="1"/>
  <c r="H68" i="14" s="1"/>
  <c r="D70" i="14"/>
  <c r="G70" i="14" s="1"/>
  <c r="H70" i="14" s="1"/>
  <c r="D32" i="14"/>
  <c r="G32" i="14" s="1"/>
  <c r="H32" i="14" s="1"/>
  <c r="D34" i="14"/>
  <c r="G34" i="14" s="1"/>
  <c r="H34" i="14" s="1"/>
  <c r="N12" i="8"/>
  <c r="N7" i="8"/>
  <c r="N15" i="8"/>
  <c r="N9" i="8"/>
  <c r="N8" i="8"/>
  <c r="N17" i="8"/>
  <c r="N16" i="8"/>
  <c r="P60" i="24"/>
  <c r="G53" i="2"/>
  <c r="G54" i="2" s="1"/>
  <c r="G55" i="2" s="1"/>
  <c r="D28" i="4"/>
  <c r="E17" i="3"/>
  <c r="E64" i="6"/>
  <c r="E59" i="6"/>
  <c r="E45" i="6"/>
  <c r="E50" i="6"/>
  <c r="E44" i="6"/>
  <c r="E47" i="6"/>
  <c r="E52" i="6"/>
  <c r="E46" i="6"/>
  <c r="N11" i="8"/>
  <c r="L76" i="9"/>
  <c r="O76" i="9" s="1"/>
  <c r="E57" i="15"/>
  <c r="H57" i="15" s="1"/>
  <c r="G17" i="13"/>
  <c r="I36" i="15"/>
  <c r="D39" i="15"/>
  <c r="AB20" i="20"/>
  <c r="AQ10" i="20"/>
  <c r="AO12" i="20"/>
  <c r="AQ12" i="20" s="1"/>
  <c r="AX10" i="20"/>
  <c r="AW9" i="20"/>
  <c r="AU12" i="20"/>
  <c r="D62" i="24"/>
  <c r="M22" i="3"/>
  <c r="E22" i="3"/>
  <c r="M18" i="3"/>
  <c r="E18" i="3"/>
  <c r="E6" i="3"/>
  <c r="Q20" i="1"/>
  <c r="U20" i="1" s="1"/>
  <c r="U13" i="1"/>
  <c r="U4" i="1"/>
  <c r="D7" i="16"/>
  <c r="E7" i="16" s="1"/>
  <c r="F28" i="5"/>
  <c r="G28" i="5" s="1"/>
  <c r="G7" i="17" s="1"/>
  <c r="H7" i="17" s="1"/>
  <c r="I7" i="17" s="1"/>
  <c r="E48" i="6"/>
  <c r="D8" i="14"/>
  <c r="D97" i="14"/>
  <c r="D92" i="14" s="1"/>
  <c r="D10" i="14"/>
  <c r="G10" i="14" s="1"/>
  <c r="H10" i="14" s="1"/>
  <c r="N6" i="8"/>
  <c r="M80" i="9"/>
  <c r="M74" i="9"/>
  <c r="N23" i="9"/>
  <c r="O23" i="9"/>
  <c r="M23" i="9"/>
  <c r="N11" i="9"/>
  <c r="O11" i="9"/>
  <c r="L81" i="9"/>
  <c r="V9" i="10"/>
  <c r="Q7" i="10"/>
  <c r="D42" i="11" s="1"/>
  <c r="E42" i="11" s="1"/>
  <c r="U14" i="10"/>
  <c r="V5" i="10"/>
  <c r="E17" i="13"/>
  <c r="H17" i="13" s="1"/>
  <c r="F41" i="15"/>
  <c r="D44" i="15"/>
  <c r="I16" i="15"/>
  <c r="K16" i="15" s="1"/>
  <c r="L16" i="15" s="1"/>
  <c r="D19" i="15"/>
  <c r="AB67" i="20"/>
  <c r="BB67" i="20"/>
  <c r="BC67" i="20" s="1"/>
  <c r="P64" i="20"/>
  <c r="BB64" i="20"/>
  <c r="AT20" i="20"/>
  <c r="AX20" i="20"/>
  <c r="AT11" i="20"/>
  <c r="AR12" i="20"/>
  <c r="AT12" i="20" s="1"/>
  <c r="O12" i="20"/>
  <c r="E19" i="3"/>
  <c r="M15" i="3"/>
  <c r="M11" i="3"/>
  <c r="U7" i="1"/>
  <c r="N6" i="1"/>
  <c r="C8" i="4"/>
  <c r="D5" i="4" s="1"/>
  <c r="E51" i="6"/>
  <c r="E49" i="6"/>
  <c r="E34" i="6"/>
  <c r="E37" i="6"/>
  <c r="E31" i="6"/>
  <c r="E36" i="6"/>
  <c r="E39" i="6"/>
  <c r="D22" i="14"/>
  <c r="G22" i="14" s="1"/>
  <c r="H22" i="14" s="1"/>
  <c r="D20" i="14"/>
  <c r="G20" i="14" s="1"/>
  <c r="H20" i="14" s="1"/>
  <c r="K5" i="8"/>
  <c r="K9" i="8"/>
  <c r="K13" i="8"/>
  <c r="K17" i="8"/>
  <c r="K6" i="8"/>
  <c r="K7" i="8"/>
  <c r="K14" i="8"/>
  <c r="K15" i="8"/>
  <c r="K8" i="8"/>
  <c r="K16" i="8"/>
  <c r="K18" i="8"/>
  <c r="P16" i="8"/>
  <c r="I14" i="8"/>
  <c r="P14" i="8"/>
  <c r="K12" i="8"/>
  <c r="P11" i="8"/>
  <c r="K11" i="8"/>
  <c r="C83" i="9"/>
  <c r="N68" i="9"/>
  <c r="O68" i="9"/>
  <c r="M64" i="9"/>
  <c r="D69" i="9"/>
  <c r="M53" i="9"/>
  <c r="D55" i="9"/>
  <c r="M43" i="9"/>
  <c r="D48" i="9"/>
  <c r="N34" i="9"/>
  <c r="O34" i="9"/>
  <c r="J14" i="10"/>
  <c r="K11" i="10" s="1"/>
  <c r="AJ13" i="10"/>
  <c r="Q13" i="10"/>
  <c r="D48" i="11" s="1"/>
  <c r="E48" i="11" s="1"/>
  <c r="D65" i="20"/>
  <c r="BA65" i="20" s="1"/>
  <c r="BC65" i="20" s="1"/>
  <c r="AJ9" i="10"/>
  <c r="Q9" i="10"/>
  <c r="D44" i="11" s="1"/>
  <c r="E44" i="11" s="1"/>
  <c r="D61" i="20"/>
  <c r="BA61" i="20" s="1"/>
  <c r="AJ5" i="10"/>
  <c r="Q5" i="10"/>
  <c r="D40" i="11" s="1"/>
  <c r="E40" i="11" s="1"/>
  <c r="D90" i="14"/>
  <c r="D91" i="14" s="1"/>
  <c r="D55" i="14"/>
  <c r="D57" i="14"/>
  <c r="G57" i="14" s="1"/>
  <c r="D59" i="14"/>
  <c r="C44" i="15"/>
  <c r="E25" i="16"/>
  <c r="H25" i="16"/>
  <c r="E23" i="16"/>
  <c r="H23" i="16"/>
  <c r="AT68" i="20"/>
  <c r="AY68" i="20"/>
  <c r="AZ68" i="20" s="1"/>
  <c r="AB68" i="20"/>
  <c r="S28" i="20"/>
  <c r="E21" i="3"/>
  <c r="E13" i="3"/>
  <c r="E9" i="3"/>
  <c r="E5" i="3"/>
  <c r="F5" i="2"/>
  <c r="F7" i="2"/>
  <c r="F9" i="2"/>
  <c r="F11" i="2"/>
  <c r="F13" i="2"/>
  <c r="F15" i="2"/>
  <c r="D25" i="4"/>
  <c r="D27" i="4"/>
  <c r="E65" i="2"/>
  <c r="E66" i="2" s="1"/>
  <c r="E67" i="2" s="1"/>
  <c r="E49" i="5"/>
  <c r="E55" i="5" s="1"/>
  <c r="E52" i="5"/>
  <c r="E46" i="5"/>
  <c r="E51" i="5"/>
  <c r="E54" i="5"/>
  <c r="E50" i="5"/>
  <c r="E48" i="5"/>
  <c r="E58" i="6"/>
  <c r="E61" i="6"/>
  <c r="E60" i="6"/>
  <c r="E63" i="6"/>
  <c r="E57" i="6"/>
  <c r="P8" i="8"/>
  <c r="I6" i="8"/>
  <c r="P6" i="8"/>
  <c r="N74" i="9"/>
  <c r="O74" i="9"/>
  <c r="N58" i="9"/>
  <c r="O58" i="9"/>
  <c r="AZ10" i="20"/>
  <c r="AH10" i="20"/>
  <c r="AL10" i="20"/>
  <c r="AN10" i="20" s="1"/>
  <c r="G10" i="20"/>
  <c r="N10" i="20"/>
  <c r="P10" i="20" s="1"/>
  <c r="M14" i="3"/>
  <c r="E14" i="3"/>
  <c r="M10" i="3"/>
  <c r="E10" i="3"/>
  <c r="M6" i="3"/>
  <c r="F10" i="2"/>
  <c r="C19" i="11"/>
  <c r="D11" i="4"/>
  <c r="D13" i="4"/>
  <c r="D15" i="4"/>
  <c r="D17" i="4"/>
  <c r="D10" i="4"/>
  <c r="F54" i="5"/>
  <c r="G54" i="5" s="1"/>
  <c r="M7" i="17" s="1"/>
  <c r="N7" i="17" s="1"/>
  <c r="O7" i="17" s="1"/>
  <c r="E43" i="6"/>
  <c r="E53" i="6" s="1"/>
  <c r="N5" i="8"/>
  <c r="P5" i="8"/>
  <c r="N79" i="9"/>
  <c r="M71" i="9"/>
  <c r="D76" i="9"/>
  <c r="N61" i="9"/>
  <c r="O61" i="9"/>
  <c r="M61" i="9"/>
  <c r="M58" i="9"/>
  <c r="N17" i="9"/>
  <c r="O17" i="9"/>
  <c r="L79" i="9"/>
  <c r="O79" i="9" s="1"/>
  <c r="Q11" i="10"/>
  <c r="D46" i="11" s="1"/>
  <c r="E46" i="11" s="1"/>
  <c r="I26" i="15"/>
  <c r="J26" i="15" s="1"/>
  <c r="F12" i="16" s="1"/>
  <c r="D29" i="15"/>
  <c r="AX68" i="20"/>
  <c r="AQ68" i="20"/>
  <c r="M23" i="3"/>
  <c r="E23" i="3"/>
  <c r="M19" i="3"/>
  <c r="E15" i="3"/>
  <c r="E11" i="3"/>
  <c r="M7" i="3"/>
  <c r="E7" i="3"/>
  <c r="F12" i="2"/>
  <c r="U16" i="1"/>
  <c r="R6" i="1"/>
  <c r="D12" i="4"/>
  <c r="I4" i="3"/>
  <c r="I5" i="3"/>
  <c r="I6" i="3"/>
  <c r="I7" i="3"/>
  <c r="I8" i="3"/>
  <c r="I9" i="3"/>
  <c r="I10" i="3"/>
  <c r="I11" i="3"/>
  <c r="I12" i="3"/>
  <c r="I13" i="3"/>
  <c r="I14" i="3"/>
  <c r="I15" i="3"/>
  <c r="I16" i="3"/>
  <c r="I17" i="3"/>
  <c r="I18" i="3"/>
  <c r="I19" i="3"/>
  <c r="I20" i="3"/>
  <c r="I21" i="3"/>
  <c r="I22" i="3"/>
  <c r="I23" i="3"/>
  <c r="I24" i="3"/>
  <c r="M24" i="3"/>
  <c r="E24" i="3"/>
  <c r="M20" i="3"/>
  <c r="E20" i="3"/>
  <c r="M16" i="3"/>
  <c r="E16" i="3"/>
  <c r="M12" i="3"/>
  <c r="E12" i="3"/>
  <c r="M8" i="3"/>
  <c r="E8" i="3"/>
  <c r="F61" i="2"/>
  <c r="F56" i="2"/>
  <c r="F64" i="2" s="1"/>
  <c r="G64" i="2" s="1"/>
  <c r="J31" i="2"/>
  <c r="J30" i="2"/>
  <c r="J29" i="2"/>
  <c r="J28" i="2"/>
  <c r="J27" i="2"/>
  <c r="J26" i="2"/>
  <c r="J25" i="2"/>
  <c r="J24" i="2"/>
  <c r="J23" i="2"/>
  <c r="J22" i="2"/>
  <c r="F14" i="2"/>
  <c r="F6" i="2"/>
  <c r="M21" i="1"/>
  <c r="M20" i="1"/>
  <c r="U18" i="1"/>
  <c r="U9" i="1"/>
  <c r="Q6" i="1"/>
  <c r="D26" i="4"/>
  <c r="D14" i="4"/>
  <c r="E58" i="5"/>
  <c r="E63" i="5"/>
  <c r="E66" i="5"/>
  <c r="E60" i="5"/>
  <c r="E65" i="5"/>
  <c r="E59" i="5"/>
  <c r="E53" i="5"/>
  <c r="E47" i="5"/>
  <c r="E6" i="5"/>
  <c r="E16" i="5" s="1"/>
  <c r="E11" i="5"/>
  <c r="E14" i="5"/>
  <c r="E8" i="5"/>
  <c r="E13" i="5"/>
  <c r="E7" i="5"/>
  <c r="E62" i="6"/>
  <c r="E56" i="6"/>
  <c r="E30" i="6"/>
  <c r="E40" i="6" s="1"/>
  <c r="D19" i="7"/>
  <c r="D20" i="7"/>
  <c r="D18" i="7"/>
  <c r="D21" i="7" s="1"/>
  <c r="F21" i="7"/>
  <c r="D9" i="7"/>
  <c r="D7" i="7"/>
  <c r="D13" i="7"/>
  <c r="D8" i="7"/>
  <c r="D10" i="7"/>
  <c r="D14" i="7"/>
  <c r="D12" i="7"/>
  <c r="N14" i="8"/>
  <c r="N13" i="8"/>
  <c r="P13" i="8"/>
  <c r="P9" i="8"/>
  <c r="L82" i="9"/>
  <c r="D82" i="9"/>
  <c r="M78" i="9"/>
  <c r="N78" i="9"/>
  <c r="E83" i="9"/>
  <c r="C65" i="15"/>
  <c r="D62" i="15"/>
  <c r="M68" i="9"/>
  <c r="L62" i="9"/>
  <c r="D62" i="9"/>
  <c r="N51" i="9"/>
  <c r="O51" i="9"/>
  <c r="L55" i="9"/>
  <c r="O55" i="9" s="1"/>
  <c r="M31" i="9"/>
  <c r="D79" i="9"/>
  <c r="L27" i="9"/>
  <c r="N7" i="9"/>
  <c r="L13" i="9"/>
  <c r="O7" i="9"/>
  <c r="L77" i="9"/>
  <c r="M7" i="9"/>
  <c r="Z14" i="10"/>
  <c r="E14" i="10"/>
  <c r="F9" i="10" s="1"/>
  <c r="V7" i="10"/>
  <c r="D19" i="11"/>
  <c r="E19" i="11" s="1"/>
  <c r="E10" i="15"/>
  <c r="H10" i="15" s="1"/>
  <c r="E7" i="13"/>
  <c r="H7" i="13" s="1"/>
  <c r="G7" i="13"/>
  <c r="F39" i="14"/>
  <c r="G26" i="15" s="1"/>
  <c r="H26" i="15" s="1"/>
  <c r="D19" i="14"/>
  <c r="D21" i="14"/>
  <c r="G21" i="14" s="1"/>
  <c r="D23" i="14"/>
  <c r="D9" i="14"/>
  <c r="G9" i="14" s="1"/>
  <c r="D11" i="14"/>
  <c r="D7" i="14"/>
  <c r="D88" i="14"/>
  <c r="C60" i="15"/>
  <c r="D57" i="15"/>
  <c r="C55" i="15"/>
  <c r="D52" i="15"/>
  <c r="H16" i="16"/>
  <c r="E16" i="16"/>
  <c r="AE30" i="20"/>
  <c r="AB29" i="20"/>
  <c r="E38" i="5"/>
  <c r="E35" i="5"/>
  <c r="E42" i="5" s="1"/>
  <c r="E24" i="5"/>
  <c r="E21" i="5"/>
  <c r="E23" i="6"/>
  <c r="E20" i="6"/>
  <c r="E27" i="6" s="1"/>
  <c r="E9" i="6"/>
  <c r="E6" i="6"/>
  <c r="E14" i="6" s="1"/>
  <c r="D58" i="14"/>
  <c r="G58" i="14" s="1"/>
  <c r="H58" i="14" s="1"/>
  <c r="J83" i="9"/>
  <c r="C5" i="15"/>
  <c r="D6" i="13"/>
  <c r="E6" i="13" s="1"/>
  <c r="H6" i="13" s="1"/>
  <c r="F83" i="9"/>
  <c r="N45" i="9"/>
  <c r="O45" i="9"/>
  <c r="N39" i="9"/>
  <c r="O39" i="9"/>
  <c r="L41" i="9"/>
  <c r="N36" i="9"/>
  <c r="N29" i="9"/>
  <c r="O29" i="9"/>
  <c r="M24" i="9"/>
  <c r="L20" i="9"/>
  <c r="M8" i="9"/>
  <c r="D13" i="9"/>
  <c r="AJ10" i="10"/>
  <c r="V6" i="10"/>
  <c r="AJ6" i="10"/>
  <c r="D19" i="13"/>
  <c r="E99" i="14"/>
  <c r="F99" i="14" s="1"/>
  <c r="F36" i="15"/>
  <c r="F21" i="15"/>
  <c r="E26" i="16"/>
  <c r="H26" i="16"/>
  <c r="E24" i="16"/>
  <c r="H24" i="16"/>
  <c r="BB60" i="20"/>
  <c r="BC60" i="20" s="1"/>
  <c r="AB60" i="20"/>
  <c r="O41" i="20"/>
  <c r="AA37" i="20"/>
  <c r="AT31" i="20"/>
  <c r="Z17" i="20"/>
  <c r="V17" i="20"/>
  <c r="E8" i="4"/>
  <c r="E41" i="5"/>
  <c r="E36" i="5"/>
  <c r="E27" i="5"/>
  <c r="E22" i="5"/>
  <c r="E26" i="6"/>
  <c r="E21" i="6"/>
  <c r="E12" i="6"/>
  <c r="F12" i="7"/>
  <c r="F15" i="7" s="1"/>
  <c r="N18" i="8"/>
  <c r="N10" i="8"/>
  <c r="H19" i="8"/>
  <c r="M82" i="9"/>
  <c r="N73" i="9"/>
  <c r="O73" i="9"/>
  <c r="N67" i="9"/>
  <c r="O67" i="9"/>
  <c r="L69" i="9"/>
  <c r="N64" i="9"/>
  <c r="N57" i="9"/>
  <c r="O57" i="9"/>
  <c r="M52" i="9"/>
  <c r="L48" i="9"/>
  <c r="O48" i="9" s="1"/>
  <c r="M36" i="9"/>
  <c r="D41" i="9"/>
  <c r="N33" i="9"/>
  <c r="O33" i="9"/>
  <c r="M18" i="9"/>
  <c r="D81" i="9"/>
  <c r="M15" i="9"/>
  <c r="D20" i="9"/>
  <c r="D77" i="9"/>
  <c r="D83" i="9" s="1"/>
  <c r="M12" i="9"/>
  <c r="D66" i="20"/>
  <c r="BA66" i="20" s="1"/>
  <c r="BC66" i="20" s="1"/>
  <c r="F6" i="10"/>
  <c r="D58" i="20"/>
  <c r="Q4" i="10"/>
  <c r="D39" i="11" s="1"/>
  <c r="E39" i="11" s="1"/>
  <c r="O14" i="10"/>
  <c r="E14" i="11"/>
  <c r="C11" i="12"/>
  <c r="E7" i="15"/>
  <c r="E5" i="13"/>
  <c r="H5" i="13" s="1"/>
  <c r="F46" i="15"/>
  <c r="F16" i="15"/>
  <c r="L16" i="8"/>
  <c r="L12" i="8"/>
  <c r="AJ11" i="10"/>
  <c r="BC64" i="20"/>
  <c r="AA9" i="10"/>
  <c r="AJ7" i="10"/>
  <c r="G19" i="13"/>
  <c r="G36" i="15"/>
  <c r="H36" i="15" s="1"/>
  <c r="F51" i="14"/>
  <c r="G31" i="15" s="1"/>
  <c r="H31" i="15" s="1"/>
  <c r="D31" i="14"/>
  <c r="D33" i="14"/>
  <c r="G33" i="14" s="1"/>
  <c r="G35" i="14" s="1"/>
  <c r="D35" i="14"/>
  <c r="I46" i="15"/>
  <c r="D49" i="15"/>
  <c r="C10" i="15"/>
  <c r="D10" i="15" s="1"/>
  <c r="I10" i="15" s="1"/>
  <c r="H27" i="16"/>
  <c r="E6" i="16"/>
  <c r="D14" i="19"/>
  <c r="AK68" i="20"/>
  <c r="Z68" i="20"/>
  <c r="S68" i="20"/>
  <c r="AZ63" i="20"/>
  <c r="BB61" i="20"/>
  <c r="AB59" i="20"/>
  <c r="O37" i="20"/>
  <c r="AZ27" i="20"/>
  <c r="AT27" i="20"/>
  <c r="AR31" i="20"/>
  <c r="AE15" i="20"/>
  <c r="AL15" i="20"/>
  <c r="AN15" i="20" s="1"/>
  <c r="BC63" i="20"/>
  <c r="G41" i="15"/>
  <c r="H41" i="15" s="1"/>
  <c r="D43" i="14"/>
  <c r="D45" i="14"/>
  <c r="G45" i="14" s="1"/>
  <c r="G47" i="14" s="1"/>
  <c r="D47" i="14"/>
  <c r="G21" i="15"/>
  <c r="H21" i="15" s="1"/>
  <c r="I41" i="15"/>
  <c r="K41" i="15" s="1"/>
  <c r="L41" i="15" s="1"/>
  <c r="F31" i="15"/>
  <c r="F26" i="15"/>
  <c r="C17" i="16"/>
  <c r="E17" i="16" s="1"/>
  <c r="V68" i="20"/>
  <c r="AN66" i="20"/>
  <c r="AB65" i="20"/>
  <c r="AZ59" i="20"/>
  <c r="E23" i="20"/>
  <c r="T23" i="20"/>
  <c r="AF23" i="20"/>
  <c r="AH23" i="20" s="1"/>
  <c r="H23" i="20"/>
  <c r="J23" i="20" s="1"/>
  <c r="AI23" i="20"/>
  <c r="AK23" i="20" s="1"/>
  <c r="AO23" i="20"/>
  <c r="AU23" i="20"/>
  <c r="W23" i="20"/>
  <c r="AC23" i="20"/>
  <c r="AR23" i="20"/>
  <c r="BA23" i="20"/>
  <c r="BC23" i="20" s="1"/>
  <c r="Q23" i="20"/>
  <c r="S20" i="20"/>
  <c r="Z20" i="20"/>
  <c r="AQ18" i="20"/>
  <c r="AX18" i="20"/>
  <c r="AZ18" i="20" s="1"/>
  <c r="AB17" i="20"/>
  <c r="AA21" i="20"/>
  <c r="AM49" i="20"/>
  <c r="G28" i="20"/>
  <c r="N28" i="20"/>
  <c r="P28" i="20" s="1"/>
  <c r="AM25" i="20"/>
  <c r="AQ11" i="20"/>
  <c r="AX11" i="20"/>
  <c r="AZ11" i="20" s="1"/>
  <c r="V9" i="20"/>
  <c r="T12" i="20"/>
  <c r="V12" i="20" s="1"/>
  <c r="AH68" i="20"/>
  <c r="AL68" i="20"/>
  <c r="AN68" i="20" s="1"/>
  <c r="J68" i="20"/>
  <c r="N68" i="20"/>
  <c r="P68" i="20" s="1"/>
  <c r="P66" i="20"/>
  <c r="AN64" i="20"/>
  <c r="BB62" i="20"/>
  <c r="BC62" i="20" s="1"/>
  <c r="AZ61" i="20"/>
  <c r="AN60" i="20"/>
  <c r="BB58" i="20"/>
  <c r="BB68" i="20" s="1"/>
  <c r="S29" i="20"/>
  <c r="Z29" i="20"/>
  <c r="AA31" i="20"/>
  <c r="AZ17" i="20"/>
  <c r="E16" i="20"/>
  <c r="Q16" i="20"/>
  <c r="AR16" i="20"/>
  <c r="AT16" i="20" s="1"/>
  <c r="T16" i="20"/>
  <c r="V16" i="20" s="1"/>
  <c r="AU16" i="20"/>
  <c r="AW16" i="20" s="1"/>
  <c r="W16" i="20"/>
  <c r="Y16" i="20" s="1"/>
  <c r="AO16" i="20"/>
  <c r="AQ14" i="20"/>
  <c r="AX14" i="20"/>
  <c r="AZ14" i="20" s="1"/>
  <c r="AO21" i="20"/>
  <c r="AQ21" i="20" s="1"/>
  <c r="AN9" i="20"/>
  <c r="E15" i="16"/>
  <c r="E11" i="16"/>
  <c r="E5" i="16"/>
  <c r="AA49" i="20"/>
  <c r="E30" i="20"/>
  <c r="T30" i="20"/>
  <c r="V30" i="20" s="1"/>
  <c r="AF30" i="20"/>
  <c r="AH30" i="20" s="1"/>
  <c r="H30" i="20"/>
  <c r="J30" i="20" s="1"/>
  <c r="AI30" i="20"/>
  <c r="AK30" i="20" s="1"/>
  <c r="AO30" i="20"/>
  <c r="AU30" i="20"/>
  <c r="AW30" i="20" s="1"/>
  <c r="AX28" i="20"/>
  <c r="AZ28" i="20" s="1"/>
  <c r="S27" i="20"/>
  <c r="Z27" i="20"/>
  <c r="E24" i="20"/>
  <c r="AO24" i="20"/>
  <c r="Q24" i="20"/>
  <c r="AR24" i="20"/>
  <c r="AT24" i="20" s="1"/>
  <c r="S19" i="20"/>
  <c r="Z19" i="20"/>
  <c r="AB19" i="20" s="1"/>
  <c r="AB18" i="20"/>
  <c r="H15" i="20"/>
  <c r="AI15" i="20"/>
  <c r="AK15" i="20" s="1"/>
  <c r="AO15" i="20"/>
  <c r="AU15" i="20"/>
  <c r="K15" i="20"/>
  <c r="M15" i="20" s="1"/>
  <c r="Q15" i="20"/>
  <c r="W15" i="20"/>
  <c r="BA15" i="20"/>
  <c r="BC15" i="20" s="1"/>
  <c r="AB14" i="20"/>
  <c r="AA12" i="20"/>
  <c r="AB10" i="20"/>
  <c r="AT9" i="20"/>
  <c r="AX9" i="20"/>
  <c r="S9" i="20"/>
  <c r="Q12" i="20"/>
  <c r="S12" i="20" s="1"/>
  <c r="Z9" i="20"/>
  <c r="Z12" i="20" s="1"/>
  <c r="O49" i="20"/>
  <c r="AA41" i="20"/>
  <c r="E33" i="20"/>
  <c r="AO33" i="20"/>
  <c r="Q33" i="20"/>
  <c r="AR33" i="20"/>
  <c r="AT33" i="20" s="1"/>
  <c r="AN28" i="20"/>
  <c r="AN27" i="20"/>
  <c r="AX19" i="20"/>
  <c r="AZ19" i="20" s="1"/>
  <c r="G19" i="20"/>
  <c r="N19" i="20"/>
  <c r="P19" i="20" s="1"/>
  <c r="AQ17" i="20"/>
  <c r="AX17" i="20"/>
  <c r="AH17" i="20"/>
  <c r="AL17" i="20"/>
  <c r="AN17" i="20" s="1"/>
  <c r="G17" i="20"/>
  <c r="N17" i="20"/>
  <c r="P17" i="20" s="1"/>
  <c r="AW12" i="20"/>
  <c r="Y12" i="20"/>
  <c r="AB11" i="20"/>
  <c r="AO29" i="20"/>
  <c r="T28" i="20"/>
  <c r="E29" i="16"/>
  <c r="H29" i="16"/>
  <c r="E20" i="16"/>
  <c r="H20" i="16"/>
  <c r="E19" i="16"/>
  <c r="H19" i="16"/>
  <c r="D21" i="16"/>
  <c r="N6" i="17"/>
  <c r="O6" i="17" s="1"/>
  <c r="M5" i="17"/>
  <c r="N5" i="17" s="1"/>
  <c r="O5" i="17" s="1"/>
  <c r="H6" i="17"/>
  <c r="I6" i="17" s="1"/>
  <c r="G5" i="17"/>
  <c r="H5" i="17" s="1"/>
  <c r="I5" i="17" s="1"/>
  <c r="J5" i="18"/>
  <c r="K5" i="18" s="1"/>
  <c r="L5" i="18" s="1"/>
  <c r="K6" i="18"/>
  <c r="L6" i="18" s="1"/>
  <c r="H62" i="15"/>
  <c r="F10" i="15"/>
  <c r="G71" i="14"/>
  <c r="H69" i="14"/>
  <c r="G59" i="14"/>
  <c r="H57" i="14"/>
  <c r="D95" i="14"/>
  <c r="H33" i="14"/>
  <c r="H21" i="14"/>
  <c r="H9" i="14"/>
  <c r="J41" i="15"/>
  <c r="F15" i="16" s="1"/>
  <c r="C21" i="16"/>
  <c r="D40" i="20"/>
  <c r="G46" i="15"/>
  <c r="H46" i="15" s="1"/>
  <c r="J46" i="15" s="1"/>
  <c r="F16" i="16" s="1"/>
  <c r="D8" i="16"/>
  <c r="E8" i="16" s="1"/>
  <c r="P5" i="17"/>
  <c r="Q5" i="17" s="1"/>
  <c r="R5" i="17" s="1"/>
  <c r="Q6" i="17"/>
  <c r="R6" i="17" s="1"/>
  <c r="J5" i="17"/>
  <c r="K5" i="17" s="1"/>
  <c r="L5" i="17" s="1"/>
  <c r="K6" i="17"/>
  <c r="L6" i="17" s="1"/>
  <c r="D5" i="17"/>
  <c r="E5" i="17" s="1"/>
  <c r="F5" i="17" s="1"/>
  <c r="E6" i="17"/>
  <c r="F6" i="17" s="1"/>
  <c r="P5" i="18"/>
  <c r="Q5" i="18" s="1"/>
  <c r="R5" i="18" s="1"/>
  <c r="Q6" i="18"/>
  <c r="R6" i="18" s="1"/>
  <c r="F57" i="15"/>
  <c r="F7" i="15"/>
  <c r="H7" i="15"/>
  <c r="G82" i="14"/>
  <c r="H82" i="14" s="1"/>
  <c r="G8" i="14"/>
  <c r="G11" i="14" s="1"/>
  <c r="F89" i="14"/>
  <c r="G16" i="15"/>
  <c r="H16" i="15" s="1"/>
  <c r="J36" i="15"/>
  <c r="F14" i="16" s="1"/>
  <c r="K36" i="15"/>
  <c r="L36" i="15" s="1"/>
  <c r="J16" i="15"/>
  <c r="F10" i="16" s="1"/>
  <c r="D13" i="15"/>
  <c r="I7" i="15"/>
  <c r="AD7" i="15"/>
  <c r="AE7" i="15" s="1"/>
  <c r="AF7" i="15" s="1"/>
  <c r="AG7" i="15" s="1"/>
  <c r="D48" i="20"/>
  <c r="D36" i="20"/>
  <c r="F17" i="18"/>
  <c r="D50" i="20" s="1"/>
  <c r="F65" i="6"/>
  <c r="G65" i="6" s="1"/>
  <c r="P7" i="18" s="1"/>
  <c r="Q7" i="18" s="1"/>
  <c r="R7" i="18" s="1"/>
  <c r="F39" i="6"/>
  <c r="G39" i="6" s="1"/>
  <c r="J7" i="18" s="1"/>
  <c r="K7" i="18" s="1"/>
  <c r="L7" i="18" s="1"/>
  <c r="I31" i="15"/>
  <c r="I21" i="15"/>
  <c r="G6" i="15"/>
  <c r="G5" i="15"/>
  <c r="H5" i="15" s="1"/>
  <c r="H17" i="16"/>
  <c r="H15" i="16"/>
  <c r="H13" i="16"/>
  <c r="H11" i="16"/>
  <c r="H5" i="16"/>
  <c r="M5" i="18"/>
  <c r="N5" i="18" s="1"/>
  <c r="O5" i="18" s="1"/>
  <c r="I5" i="18"/>
  <c r="C23" i="19"/>
  <c r="C22" i="19"/>
  <c r="C21" i="19"/>
  <c r="C20" i="19"/>
  <c r="C19" i="19"/>
  <c r="D6" i="4"/>
  <c r="F67" i="5"/>
  <c r="G67" i="5" s="1"/>
  <c r="P7" i="17" s="1"/>
  <c r="Q7" i="17" s="1"/>
  <c r="R7" i="17" s="1"/>
  <c r="F41" i="5"/>
  <c r="G41" i="5" s="1"/>
  <c r="J7" i="17" s="1"/>
  <c r="K7" i="17" s="1"/>
  <c r="L7" i="17" s="1"/>
  <c r="F15" i="5"/>
  <c r="G15" i="5" s="1"/>
  <c r="D7" i="17" s="1"/>
  <c r="E7" i="17" s="1"/>
  <c r="F7" i="17" s="1"/>
  <c r="F52" i="6"/>
  <c r="G52" i="6" s="1"/>
  <c r="M7" i="18" s="1"/>
  <c r="N7" i="18" s="1"/>
  <c r="O7" i="18" s="1"/>
  <c r="F26" i="6"/>
  <c r="G26" i="6" s="1"/>
  <c r="G7" i="18" s="1"/>
  <c r="H7" i="18" s="1"/>
  <c r="I7" i="18" s="1"/>
  <c r="D17" i="11"/>
  <c r="E17" i="11" s="1"/>
  <c r="E11" i="13"/>
  <c r="H11" i="13" s="1"/>
  <c r="C11" i="13"/>
  <c r="I6" i="13"/>
  <c r="G83" i="14"/>
  <c r="BA56" i="20"/>
  <c r="BC56" i="20" s="1"/>
  <c r="AX56" i="20"/>
  <c r="AZ56" i="20" s="1"/>
  <c r="AL56" i="20"/>
  <c r="AN56" i="20" s="1"/>
  <c r="Z56" i="20"/>
  <c r="AB56" i="20" s="1"/>
  <c r="G29" i="20"/>
  <c r="G20" i="20"/>
  <c r="G16" i="20"/>
  <c r="E12" i="20"/>
  <c r="G12" i="20" s="1"/>
  <c r="G9" i="20"/>
  <c r="G33" i="20"/>
  <c r="G24" i="20"/>
  <c r="G18" i="20"/>
  <c r="G14" i="20"/>
  <c r="E21" i="20"/>
  <c r="G21" i="20" s="1"/>
  <c r="G11" i="20"/>
  <c r="BA33" i="20"/>
  <c r="BC33" i="20" s="1"/>
  <c r="AI33" i="20"/>
  <c r="AK33" i="20" s="1"/>
  <c r="AF33" i="20"/>
  <c r="AH33" i="20" s="1"/>
  <c r="AC33" i="20"/>
  <c r="K33" i="20"/>
  <c r="M33" i="20" s="1"/>
  <c r="H33" i="20"/>
  <c r="J33" i="20" s="1"/>
  <c r="AU31" i="20"/>
  <c r="AW31" i="20" s="1"/>
  <c r="W31" i="20"/>
  <c r="Y31" i="20" s="1"/>
  <c r="Q31" i="20"/>
  <c r="S31" i="20" s="1"/>
  <c r="BA29" i="20"/>
  <c r="BC29" i="20" s="1"/>
  <c r="AI29" i="20"/>
  <c r="AK29" i="20" s="1"/>
  <c r="AF29" i="20"/>
  <c r="AC29" i="20"/>
  <c r="K29" i="20"/>
  <c r="M29" i="20" s="1"/>
  <c r="H29" i="20"/>
  <c r="D25" i="20"/>
  <c r="BA24" i="20"/>
  <c r="BC24" i="20" s="1"/>
  <c r="AI24" i="20"/>
  <c r="AF24" i="20"/>
  <c r="AC24" i="20"/>
  <c r="K24" i="20"/>
  <c r="H24" i="20"/>
  <c r="AR21" i="20"/>
  <c r="AT21" i="20" s="1"/>
  <c r="T21" i="20"/>
  <c r="V21" i="20" s="1"/>
  <c r="D21" i="20"/>
  <c r="BA20" i="20"/>
  <c r="BC20" i="20" s="1"/>
  <c r="AI20" i="20"/>
  <c r="AK20" i="20" s="1"/>
  <c r="AF20" i="20"/>
  <c r="AH20" i="20" s="1"/>
  <c r="AC20" i="20"/>
  <c r="K20" i="20"/>
  <c r="M20" i="20" s="1"/>
  <c r="H20" i="20"/>
  <c r="J20" i="20" s="1"/>
  <c r="BA18" i="20"/>
  <c r="BC18" i="20" s="1"/>
  <c r="AI18" i="20"/>
  <c r="AK18" i="20" s="1"/>
  <c r="AF18" i="20"/>
  <c r="AH18" i="20" s="1"/>
  <c r="AC18" i="20"/>
  <c r="K18" i="20"/>
  <c r="M18" i="20" s="1"/>
  <c r="H18" i="20"/>
  <c r="J18" i="20" s="1"/>
  <c r="BA16" i="20"/>
  <c r="AI16" i="20"/>
  <c r="AF16" i="20"/>
  <c r="AC16" i="20"/>
  <c r="K16" i="20"/>
  <c r="M16" i="20" s="1"/>
  <c r="H16" i="20"/>
  <c r="J16" i="20" s="1"/>
  <c r="AC14" i="20"/>
  <c r="K14" i="20"/>
  <c r="H14" i="20"/>
  <c r="AI11" i="20"/>
  <c r="AF11" i="20"/>
  <c r="AC11" i="20"/>
  <c r="K11" i="20"/>
  <c r="M11" i="20" s="1"/>
  <c r="H11" i="20"/>
  <c r="J11" i="20" s="1"/>
  <c r="K9" i="20"/>
  <c r="H9" i="20"/>
  <c r="T31" i="20" l="1"/>
  <c r="V31" i="20" s="1"/>
  <c r="V28" i="20"/>
  <c r="S33" i="20"/>
  <c r="Z33" i="20"/>
  <c r="AB33" i="20" s="1"/>
  <c r="AX12" i="20"/>
  <c r="AZ12" i="20" s="1"/>
  <c r="AZ9" i="20"/>
  <c r="J15" i="20"/>
  <c r="N15" i="20"/>
  <c r="P15" i="20" s="1"/>
  <c r="Z31" i="20"/>
  <c r="AB27" i="20"/>
  <c r="AX30" i="20"/>
  <c r="AZ30" i="20" s="1"/>
  <c r="AQ30" i="20"/>
  <c r="AQ16" i="20"/>
  <c r="AX16" i="20"/>
  <c r="AZ16" i="20" s="1"/>
  <c r="AE23" i="20"/>
  <c r="AL23" i="20"/>
  <c r="AN23" i="20" s="1"/>
  <c r="G23" i="20"/>
  <c r="N23" i="20"/>
  <c r="P23" i="20" s="1"/>
  <c r="P7" i="10"/>
  <c r="P11" i="10"/>
  <c r="P4" i="10"/>
  <c r="P8" i="10"/>
  <c r="P12" i="10"/>
  <c r="AF5" i="10"/>
  <c r="AF9" i="10"/>
  <c r="AF13" i="10"/>
  <c r="Q14" i="10"/>
  <c r="D49" i="11" s="1"/>
  <c r="AF4" i="10"/>
  <c r="AF14" i="10" s="1"/>
  <c r="AF8" i="10"/>
  <c r="AF12" i="10"/>
  <c r="AF10" i="10"/>
  <c r="O7" i="8"/>
  <c r="O15" i="8"/>
  <c r="O10" i="8"/>
  <c r="O18" i="8"/>
  <c r="O11" i="8"/>
  <c r="O12" i="8"/>
  <c r="O20" i="9"/>
  <c r="N20" i="9"/>
  <c r="I57" i="15"/>
  <c r="D60" i="15"/>
  <c r="I62" i="15"/>
  <c r="D65" i="15"/>
  <c r="K19" i="8"/>
  <c r="AZ20" i="20"/>
  <c r="AD10" i="15"/>
  <c r="K26" i="15"/>
  <c r="L26" i="15" s="1"/>
  <c r="K46" i="15"/>
  <c r="L46" i="15" s="1"/>
  <c r="D93" i="14"/>
  <c r="AQ33" i="20"/>
  <c r="AX33" i="20"/>
  <c r="AZ33" i="20" s="1"/>
  <c r="AW15" i="20"/>
  <c r="AU21" i="20"/>
  <c r="AW21" i="20" s="1"/>
  <c r="S24" i="20"/>
  <c r="Z24" i="20"/>
  <c r="AB24" i="20" s="1"/>
  <c r="G30" i="20"/>
  <c r="N30" i="20"/>
  <c r="P30" i="20" s="1"/>
  <c r="AA5" i="10"/>
  <c r="AA12" i="10"/>
  <c r="N41" i="9"/>
  <c r="O41" i="9"/>
  <c r="E66" i="6"/>
  <c r="F16" i="2"/>
  <c r="G5" i="2"/>
  <c r="G6" i="2" s="1"/>
  <c r="G7" i="2" s="1"/>
  <c r="G8" i="2" s="1"/>
  <c r="G9" i="2" s="1"/>
  <c r="G10" i="2" s="1"/>
  <c r="G11" i="2" s="1"/>
  <c r="G12" i="2" s="1"/>
  <c r="G13" i="2" s="1"/>
  <c r="G14" i="2" s="1"/>
  <c r="G15" i="2" s="1"/>
  <c r="AJ14" i="10"/>
  <c r="V4" i="10"/>
  <c r="V12" i="10"/>
  <c r="V8" i="10"/>
  <c r="V13" i="10"/>
  <c r="O9" i="8"/>
  <c r="E25" i="20"/>
  <c r="H7" i="16"/>
  <c r="H45" i="14"/>
  <c r="F62" i="15"/>
  <c r="W21" i="20"/>
  <c r="Y21" i="20" s="1"/>
  <c r="Y15" i="20"/>
  <c r="AQ15" i="20"/>
  <c r="AX15" i="20"/>
  <c r="AZ15" i="20" s="1"/>
  <c r="AQ24" i="20"/>
  <c r="AX24" i="20"/>
  <c r="AZ24" i="20" s="1"/>
  <c r="Z30" i="20"/>
  <c r="AB30" i="20" s="1"/>
  <c r="AB31" i="20"/>
  <c r="AW23" i="20"/>
  <c r="AU25" i="20"/>
  <c r="I5" i="8"/>
  <c r="I11" i="8"/>
  <c r="I13" i="8"/>
  <c r="I12" i="8"/>
  <c r="I17" i="8"/>
  <c r="I15" i="8"/>
  <c r="I7" i="8"/>
  <c r="BA58" i="20"/>
  <c r="BC58" i="20" s="1"/>
  <c r="D68" i="20"/>
  <c r="BA68" i="20" s="1"/>
  <c r="BC68" i="20" s="1"/>
  <c r="AA8" i="10"/>
  <c r="N69" i="9"/>
  <c r="O69" i="9"/>
  <c r="I19" i="13"/>
  <c r="E19" i="13"/>
  <c r="H19" i="13" s="1"/>
  <c r="I10" i="8"/>
  <c r="AL30" i="20"/>
  <c r="AN30" i="20" s="1"/>
  <c r="I52" i="15"/>
  <c r="D55" i="15"/>
  <c r="V11" i="10"/>
  <c r="N62" i="9"/>
  <c r="O62" i="9"/>
  <c r="O82" i="9"/>
  <c r="N82" i="9"/>
  <c r="D15" i="7"/>
  <c r="N19" i="8"/>
  <c r="D18" i="4"/>
  <c r="O8" i="8"/>
  <c r="Z28" i="20"/>
  <c r="AB28" i="20" s="1"/>
  <c r="P5" i="10"/>
  <c r="BC61" i="20"/>
  <c r="P10" i="10"/>
  <c r="P13" i="10"/>
  <c r="O16" i="8"/>
  <c r="N81" i="9"/>
  <c r="O81" i="9"/>
  <c r="P62" i="24"/>
  <c r="H64" i="24"/>
  <c r="N48" i="9"/>
  <c r="AF11" i="10"/>
  <c r="C8" i="15"/>
  <c r="D5" i="15"/>
  <c r="C67" i="15"/>
  <c r="F7" i="10"/>
  <c r="F11" i="10"/>
  <c r="F8" i="10"/>
  <c r="F4" i="10"/>
  <c r="F12" i="10"/>
  <c r="O14" i="8"/>
  <c r="E68" i="5"/>
  <c r="P6" i="10"/>
  <c r="P9" i="10"/>
  <c r="K5" i="10"/>
  <c r="K9" i="10"/>
  <c r="K13" i="10"/>
  <c r="K6" i="10"/>
  <c r="AA6" i="10"/>
  <c r="K10" i="10"/>
  <c r="AA10" i="10"/>
  <c r="AO31" i="20"/>
  <c r="AQ31" i="20" s="1"/>
  <c r="C13" i="15"/>
  <c r="AQ29" i="20"/>
  <c r="AX29" i="20"/>
  <c r="S16" i="20"/>
  <c r="Z16" i="20"/>
  <c r="AB16" i="20" s="1"/>
  <c r="Z23" i="20"/>
  <c r="S23" i="20"/>
  <c r="Q25" i="20"/>
  <c r="Y23" i="20"/>
  <c r="W25" i="20"/>
  <c r="AF6" i="10"/>
  <c r="O5" i="8"/>
  <c r="F5" i="4"/>
  <c r="F7" i="4"/>
  <c r="F6" i="4"/>
  <c r="AF7" i="10"/>
  <c r="AA13" i="10"/>
  <c r="E29" i="5"/>
  <c r="K8" i="10"/>
  <c r="N13" i="9"/>
  <c r="O13" i="9"/>
  <c r="AA7" i="10"/>
  <c r="O17" i="8"/>
  <c r="E31" i="20"/>
  <c r="G31" i="20" s="1"/>
  <c r="C17" i="19"/>
  <c r="BA31" i="20"/>
  <c r="BC31" i="20" s="1"/>
  <c r="D94" i="14"/>
  <c r="C18" i="19"/>
  <c r="G23" i="14"/>
  <c r="O18" i="17"/>
  <c r="D44" i="20" s="1"/>
  <c r="K44" i="20" s="1"/>
  <c r="M44" i="20" s="1"/>
  <c r="AB12" i="20"/>
  <c r="Z15" i="20"/>
  <c r="AB15" i="20" s="1"/>
  <c r="S15" i="20"/>
  <c r="Q21" i="20"/>
  <c r="S21" i="20" s="1"/>
  <c r="AT23" i="20"/>
  <c r="AR25" i="20"/>
  <c r="AO25" i="20"/>
  <c r="AX23" i="20"/>
  <c r="AQ23" i="20"/>
  <c r="T25" i="20"/>
  <c r="V23" i="20"/>
  <c r="L19" i="8"/>
  <c r="AA4" i="10"/>
  <c r="F10" i="10"/>
  <c r="O13" i="8"/>
  <c r="V10" i="10"/>
  <c r="I18" i="8"/>
  <c r="K4" i="10"/>
  <c r="K12" i="10"/>
  <c r="O77" i="9"/>
  <c r="N77" i="9"/>
  <c r="L83" i="9"/>
  <c r="O83" i="9" s="1"/>
  <c r="O27" i="9"/>
  <c r="N27" i="9"/>
  <c r="I9" i="8"/>
  <c r="O6" i="8"/>
  <c r="F5" i="10"/>
  <c r="I8" i="8"/>
  <c r="AA11" i="10"/>
  <c r="N76" i="9"/>
  <c r="I16" i="8"/>
  <c r="U6" i="1"/>
  <c r="K7" i="10"/>
  <c r="D7" i="4"/>
  <c r="D8" i="4" s="1"/>
  <c r="AB9" i="20"/>
  <c r="F13" i="10"/>
  <c r="G56" i="2"/>
  <c r="G57" i="2" s="1"/>
  <c r="G58" i="2" s="1"/>
  <c r="G59" i="2" s="1"/>
  <c r="G60" i="2" s="1"/>
  <c r="G61" i="2" s="1"/>
  <c r="G62" i="2" s="1"/>
  <c r="G63" i="2" s="1"/>
  <c r="N55" i="9"/>
  <c r="G6" i="14"/>
  <c r="H11" i="14"/>
  <c r="K12" i="20"/>
  <c r="M12" i="20" s="1"/>
  <c r="M9" i="20"/>
  <c r="AH11" i="20"/>
  <c r="AF12" i="20"/>
  <c r="AH12" i="20" s="1"/>
  <c r="J24" i="20"/>
  <c r="H25" i="20"/>
  <c r="AL24" i="20"/>
  <c r="AE24" i="20"/>
  <c r="AC25" i="20"/>
  <c r="AK24" i="20"/>
  <c r="AI25" i="20"/>
  <c r="J29" i="20"/>
  <c r="H31" i="20"/>
  <c r="J31" i="20" s="1"/>
  <c r="AL29" i="20"/>
  <c r="AE29" i="20"/>
  <c r="G78" i="14"/>
  <c r="H78" i="14" s="1"/>
  <c r="H83" i="14"/>
  <c r="J21" i="15"/>
  <c r="F11" i="16" s="1"/>
  <c r="K21" i="15"/>
  <c r="L21" i="15" s="1"/>
  <c r="Q50" i="20"/>
  <c r="T50" i="20"/>
  <c r="V50" i="20" s="1"/>
  <c r="W50" i="20"/>
  <c r="Y50" i="20" s="1"/>
  <c r="AO50" i="20"/>
  <c r="AR50" i="20"/>
  <c r="AT50" i="20" s="1"/>
  <c r="AU50" i="20"/>
  <c r="AW50" i="20" s="1"/>
  <c r="E50" i="20"/>
  <c r="H50" i="20"/>
  <c r="J50" i="20" s="1"/>
  <c r="K50" i="20"/>
  <c r="M50" i="20" s="1"/>
  <c r="AC50" i="20"/>
  <c r="AF50" i="20"/>
  <c r="AH50" i="20" s="1"/>
  <c r="AI50" i="20"/>
  <c r="AK50" i="20" s="1"/>
  <c r="BA50" i="20"/>
  <c r="BC50" i="20" s="1"/>
  <c r="Q36" i="20"/>
  <c r="T36" i="20"/>
  <c r="V36" i="20" s="1"/>
  <c r="W36" i="20"/>
  <c r="Y36" i="20" s="1"/>
  <c r="AO36" i="20"/>
  <c r="AR36" i="20"/>
  <c r="AT36" i="20" s="1"/>
  <c r="AU36" i="20"/>
  <c r="AW36" i="20" s="1"/>
  <c r="H36" i="20"/>
  <c r="J36" i="20" s="1"/>
  <c r="AF36" i="20"/>
  <c r="AH36" i="20" s="1"/>
  <c r="BA36" i="20"/>
  <c r="BC36" i="20" s="1"/>
  <c r="E36" i="20"/>
  <c r="K36" i="20"/>
  <c r="M36" i="20" s="1"/>
  <c r="AC36" i="20"/>
  <c r="AI36" i="20"/>
  <c r="AK36" i="20" s="1"/>
  <c r="K10" i="15"/>
  <c r="L10" i="15" s="1"/>
  <c r="J10" i="15"/>
  <c r="F7" i="16" s="1"/>
  <c r="D35" i="20"/>
  <c r="F18" i="17"/>
  <c r="D47" i="20"/>
  <c r="R18" i="17"/>
  <c r="D39" i="20"/>
  <c r="I18" i="17"/>
  <c r="H44" i="20"/>
  <c r="J44" i="20" s="1"/>
  <c r="AI44" i="20"/>
  <c r="AK44" i="20" s="1"/>
  <c r="W44" i="20"/>
  <c r="Y44" i="20" s="1"/>
  <c r="E21" i="16"/>
  <c r="H21" i="16"/>
  <c r="AC31" i="20"/>
  <c r="AE31" i="20" s="1"/>
  <c r="N11" i="20"/>
  <c r="P11" i="20" s="1"/>
  <c r="N24" i="20"/>
  <c r="N33" i="20"/>
  <c r="P33" i="20" s="1"/>
  <c r="I17" i="18"/>
  <c r="D51" i="20" s="1"/>
  <c r="R17" i="18"/>
  <c r="D54" i="20" s="1"/>
  <c r="L18" i="17"/>
  <c r="D42" i="20" s="1"/>
  <c r="H21" i="20"/>
  <c r="J21" i="20" s="1"/>
  <c r="J14" i="20"/>
  <c r="AL14" i="20"/>
  <c r="AE14" i="20"/>
  <c r="AC21" i="20"/>
  <c r="AE21" i="20" s="1"/>
  <c r="AF21" i="20"/>
  <c r="AH21" i="20" s="1"/>
  <c r="AH16" i="20"/>
  <c r="BC16" i="20"/>
  <c r="BA21" i="20"/>
  <c r="BC21" i="20" s="1"/>
  <c r="J9" i="20"/>
  <c r="H12" i="20"/>
  <c r="J12" i="20" s="1"/>
  <c r="AL11" i="20"/>
  <c r="AC12" i="20"/>
  <c r="AE12" i="20" s="1"/>
  <c r="AE11" i="20"/>
  <c r="AI12" i="20"/>
  <c r="AK12" i="20" s="1"/>
  <c r="AK11" i="20"/>
  <c r="M14" i="20"/>
  <c r="K21" i="20"/>
  <c r="M21" i="20" s="1"/>
  <c r="AL16" i="20"/>
  <c r="AN16" i="20" s="1"/>
  <c r="AE16" i="20"/>
  <c r="AK16" i="20"/>
  <c r="AI21" i="20"/>
  <c r="AK21" i="20" s="1"/>
  <c r="AL18" i="20"/>
  <c r="AN18" i="20" s="1"/>
  <c r="AE18" i="20"/>
  <c r="AL20" i="20"/>
  <c r="AN20" i="20" s="1"/>
  <c r="AE20" i="20"/>
  <c r="M24" i="20"/>
  <c r="K25" i="20"/>
  <c r="AH24" i="20"/>
  <c r="AF25" i="20"/>
  <c r="AH29" i="20"/>
  <c r="AF31" i="20"/>
  <c r="AH31" i="20" s="1"/>
  <c r="AL33" i="20"/>
  <c r="AN33" i="20" s="1"/>
  <c r="AE33" i="20"/>
  <c r="C12" i="19"/>
  <c r="C14" i="19" s="1"/>
  <c r="E52" i="15"/>
  <c r="G11" i="13"/>
  <c r="H6" i="15"/>
  <c r="AD6" i="15"/>
  <c r="AE6" i="15" s="1"/>
  <c r="AF6" i="15" s="1"/>
  <c r="AG6" i="15" s="1"/>
  <c r="J31" i="15"/>
  <c r="F13" i="16" s="1"/>
  <c r="K31" i="15"/>
  <c r="L31" i="15" s="1"/>
  <c r="E48" i="20"/>
  <c r="H48" i="20"/>
  <c r="J48" i="20" s="1"/>
  <c r="K48" i="20"/>
  <c r="M48" i="20" s="1"/>
  <c r="AC48" i="20"/>
  <c r="AF48" i="20"/>
  <c r="AH48" i="20" s="1"/>
  <c r="AI48" i="20"/>
  <c r="AK48" i="20" s="1"/>
  <c r="BA48" i="20"/>
  <c r="BC48" i="20" s="1"/>
  <c r="Q48" i="20"/>
  <c r="T48" i="20"/>
  <c r="V48" i="20" s="1"/>
  <c r="W48" i="20"/>
  <c r="Y48" i="20" s="1"/>
  <c r="AO48" i="20"/>
  <c r="AR48" i="20"/>
  <c r="AT48" i="20" s="1"/>
  <c r="AU48" i="20"/>
  <c r="AW48" i="20" s="1"/>
  <c r="K7" i="15"/>
  <c r="L7" i="15" s="1"/>
  <c r="J7" i="15"/>
  <c r="E40" i="20"/>
  <c r="H40" i="20"/>
  <c r="J40" i="20" s="1"/>
  <c r="K40" i="20"/>
  <c r="M40" i="20" s="1"/>
  <c r="AC40" i="20"/>
  <c r="AF40" i="20"/>
  <c r="AH40" i="20" s="1"/>
  <c r="AI40" i="20"/>
  <c r="AK40" i="20" s="1"/>
  <c r="BA40" i="20"/>
  <c r="BC40" i="20" s="1"/>
  <c r="Q40" i="20"/>
  <c r="T40" i="20"/>
  <c r="V40" i="20" s="1"/>
  <c r="W40" i="20"/>
  <c r="Y40" i="20" s="1"/>
  <c r="AO40" i="20"/>
  <c r="AR40" i="20"/>
  <c r="AT40" i="20" s="1"/>
  <c r="AU40" i="20"/>
  <c r="AW40" i="20" s="1"/>
  <c r="G18" i="14"/>
  <c r="H18" i="14" s="1"/>
  <c r="H23" i="14"/>
  <c r="G30" i="14"/>
  <c r="H30" i="14" s="1"/>
  <c r="H35" i="14"/>
  <c r="G42" i="14"/>
  <c r="H42" i="14" s="1"/>
  <c r="H47" i="14"/>
  <c r="G54" i="14"/>
  <c r="H54" i="14" s="1"/>
  <c r="H59" i="14"/>
  <c r="G66" i="14"/>
  <c r="H66" i="14" s="1"/>
  <c r="H71" i="14"/>
  <c r="BA25" i="20"/>
  <c r="K31" i="20"/>
  <c r="M31" i="20" s="1"/>
  <c r="AI31" i="20"/>
  <c r="AK31" i="20" s="1"/>
  <c r="N14" i="20"/>
  <c r="N18" i="20"/>
  <c r="P18" i="20" s="1"/>
  <c r="N9" i="20"/>
  <c r="N16" i="20"/>
  <c r="P16" i="20" s="1"/>
  <c r="N20" i="20"/>
  <c r="P20" i="20" s="1"/>
  <c r="N29" i="20"/>
  <c r="O17" i="18"/>
  <c r="D53" i="20" s="1"/>
  <c r="H8" i="14"/>
  <c r="L17" i="18"/>
  <c r="D52" i="20" s="1"/>
  <c r="T44" i="20" l="1"/>
  <c r="V44" i="20" s="1"/>
  <c r="E44" i="20"/>
  <c r="K14" i="10"/>
  <c r="F8" i="4"/>
  <c r="I5" i="15"/>
  <c r="D67" i="15"/>
  <c r="D8" i="15"/>
  <c r="F5" i="15"/>
  <c r="AD5" i="15"/>
  <c r="AE5" i="15" s="1"/>
  <c r="AF5" i="15" s="1"/>
  <c r="AG5" i="15" s="1"/>
  <c r="D64" i="24"/>
  <c r="P64" i="24" s="1"/>
  <c r="F64" i="24"/>
  <c r="R64" i="24" s="1"/>
  <c r="N83" i="9"/>
  <c r="V14" i="10"/>
  <c r="E49" i="11"/>
  <c r="C24" i="19"/>
  <c r="AR44" i="20"/>
  <c r="AT44" i="20" s="1"/>
  <c r="Q44" i="20"/>
  <c r="AC44" i="20"/>
  <c r="AA14" i="10"/>
  <c r="O19" i="8"/>
  <c r="I19" i="8"/>
  <c r="J62" i="15"/>
  <c r="K62" i="15"/>
  <c r="L62" i="15" s="1"/>
  <c r="Z25" i="20"/>
  <c r="AB23" i="20"/>
  <c r="F14" i="10"/>
  <c r="K57" i="15"/>
  <c r="L57" i="15" s="1"/>
  <c r="J57" i="15"/>
  <c r="F27" i="16" s="1"/>
  <c r="AU44" i="20"/>
  <c r="AW44" i="20" s="1"/>
  <c r="AF44" i="20"/>
  <c r="AH44" i="20" s="1"/>
  <c r="AO44" i="20"/>
  <c r="AX44" i="20" s="1"/>
  <c r="AZ44" i="20" s="1"/>
  <c r="BA44" i="20"/>
  <c r="BC44" i="20" s="1"/>
  <c r="AX25" i="20"/>
  <c r="AZ23" i="20"/>
  <c r="Z21" i="20"/>
  <c r="AB21" i="20" s="1"/>
  <c r="AZ29" i="20"/>
  <c r="AX31" i="20"/>
  <c r="AZ31" i="20" s="1"/>
  <c r="AX21" i="20"/>
  <c r="AZ21" i="20" s="1"/>
  <c r="P14" i="10"/>
  <c r="S40" i="20"/>
  <c r="Z40" i="20"/>
  <c r="AB40" i="20" s="1"/>
  <c r="AL40" i="20"/>
  <c r="AN40" i="20" s="1"/>
  <c r="AE40" i="20"/>
  <c r="AQ48" i="20"/>
  <c r="AX48" i="20"/>
  <c r="AZ48" i="20" s="1"/>
  <c r="N48" i="20"/>
  <c r="P48" i="20" s="1"/>
  <c r="G48" i="20"/>
  <c r="F52" i="15"/>
  <c r="H52" i="15"/>
  <c r="AN11" i="20"/>
  <c r="AL12" i="20"/>
  <c r="AN12" i="20" s="1"/>
  <c r="E54" i="20"/>
  <c r="H54" i="20"/>
  <c r="J54" i="20" s="1"/>
  <c r="K54" i="20"/>
  <c r="M54" i="20" s="1"/>
  <c r="AC54" i="20"/>
  <c r="AF54" i="20"/>
  <c r="AH54" i="20" s="1"/>
  <c r="AI54" i="20"/>
  <c r="AK54" i="20" s="1"/>
  <c r="BA54" i="20"/>
  <c r="BC54" i="20" s="1"/>
  <c r="Q54" i="20"/>
  <c r="W54" i="20"/>
  <c r="Y54" i="20" s="1"/>
  <c r="AO54" i="20"/>
  <c r="AU54" i="20"/>
  <c r="AW54" i="20" s="1"/>
  <c r="T54" i="20"/>
  <c r="V54" i="20" s="1"/>
  <c r="AR54" i="20"/>
  <c r="AT54" i="20" s="1"/>
  <c r="AQ44" i="20"/>
  <c r="N44" i="20"/>
  <c r="P44" i="20" s="1"/>
  <c r="G44" i="20"/>
  <c r="Q39" i="20"/>
  <c r="T39" i="20"/>
  <c r="W39" i="20"/>
  <c r="AO39" i="20"/>
  <c r="AR39" i="20"/>
  <c r="AU39" i="20"/>
  <c r="D41" i="20"/>
  <c r="E39" i="20"/>
  <c r="H39" i="20"/>
  <c r="K39" i="20"/>
  <c r="AC39" i="20"/>
  <c r="AF39" i="20"/>
  <c r="AI39" i="20"/>
  <c r="BA39" i="20"/>
  <c r="Q47" i="20"/>
  <c r="T47" i="20"/>
  <c r="W47" i="20"/>
  <c r="AO47" i="20"/>
  <c r="AR47" i="20"/>
  <c r="AU47" i="20"/>
  <c r="D49" i="20"/>
  <c r="E47" i="20"/>
  <c r="H47" i="20"/>
  <c r="K47" i="20"/>
  <c r="AC47" i="20"/>
  <c r="AF47" i="20"/>
  <c r="AI47" i="20"/>
  <c r="BA47" i="20"/>
  <c r="Q35" i="20"/>
  <c r="T35" i="20"/>
  <c r="W35" i="20"/>
  <c r="AO35" i="20"/>
  <c r="AR35" i="20"/>
  <c r="AU35" i="20"/>
  <c r="E35" i="20"/>
  <c r="H35" i="20"/>
  <c r="K35" i="20"/>
  <c r="AC35" i="20"/>
  <c r="AF35" i="20"/>
  <c r="AI35" i="20"/>
  <c r="BA35" i="20"/>
  <c r="D37" i="20"/>
  <c r="AE36" i="20"/>
  <c r="AL36" i="20"/>
  <c r="AN36" i="20" s="1"/>
  <c r="G36" i="20"/>
  <c r="N36" i="20"/>
  <c r="P36" i="20" s="1"/>
  <c r="AX36" i="20"/>
  <c r="AZ36" i="20" s="1"/>
  <c r="AQ36" i="20"/>
  <c r="G50" i="20"/>
  <c r="N50" i="20"/>
  <c r="P50" i="20" s="1"/>
  <c r="Z50" i="20"/>
  <c r="AB50" i="20" s="1"/>
  <c r="S50" i="20"/>
  <c r="AN29" i="20"/>
  <c r="AL31" i="20"/>
  <c r="AN31" i="20" s="1"/>
  <c r="P29" i="20"/>
  <c r="N31" i="20"/>
  <c r="P31" i="20" s="1"/>
  <c r="Q52" i="20"/>
  <c r="T52" i="20"/>
  <c r="V52" i="20" s="1"/>
  <c r="W52" i="20"/>
  <c r="Y52" i="20" s="1"/>
  <c r="AO52" i="20"/>
  <c r="AR52" i="20"/>
  <c r="AT52" i="20" s="1"/>
  <c r="AU52" i="20"/>
  <c r="AW52" i="20" s="1"/>
  <c r="E52" i="20"/>
  <c r="H52" i="20"/>
  <c r="J52" i="20" s="1"/>
  <c r="K52" i="20"/>
  <c r="M52" i="20" s="1"/>
  <c r="AC52" i="20"/>
  <c r="AF52" i="20"/>
  <c r="AH52" i="20" s="1"/>
  <c r="AI52" i="20"/>
  <c r="AK52" i="20" s="1"/>
  <c r="BA52" i="20"/>
  <c r="BC52" i="20" s="1"/>
  <c r="E53" i="20"/>
  <c r="Q53" i="20"/>
  <c r="T53" i="20"/>
  <c r="V53" i="20" s="1"/>
  <c r="W53" i="20"/>
  <c r="Y53" i="20" s="1"/>
  <c r="AO53" i="20"/>
  <c r="AR53" i="20"/>
  <c r="AT53" i="20" s="1"/>
  <c r="AU53" i="20"/>
  <c r="AW53" i="20" s="1"/>
  <c r="K53" i="20"/>
  <c r="M53" i="20" s="1"/>
  <c r="AC53" i="20"/>
  <c r="AI53" i="20"/>
  <c r="AK53" i="20" s="1"/>
  <c r="BA53" i="20"/>
  <c r="BC53" i="20" s="1"/>
  <c r="H53" i="20"/>
  <c r="J53" i="20" s="1"/>
  <c r="AF53" i="20"/>
  <c r="AH53" i="20" s="1"/>
  <c r="P9" i="20"/>
  <c r="N12" i="20"/>
  <c r="P12" i="20" s="1"/>
  <c r="P14" i="20"/>
  <c r="N21" i="20"/>
  <c r="P21" i="20" s="1"/>
  <c r="AQ40" i="20"/>
  <c r="AX40" i="20"/>
  <c r="AZ40" i="20" s="1"/>
  <c r="N40" i="20"/>
  <c r="P40" i="20" s="1"/>
  <c r="G40" i="20"/>
  <c r="S48" i="20"/>
  <c r="Z48" i="20"/>
  <c r="AB48" i="20" s="1"/>
  <c r="AL48" i="20"/>
  <c r="AN48" i="20" s="1"/>
  <c r="AE48" i="20"/>
  <c r="AN14" i="20"/>
  <c r="AL21" i="20"/>
  <c r="AN21" i="20" s="1"/>
  <c r="T42" i="20"/>
  <c r="V42" i="20" s="1"/>
  <c r="W42" i="20"/>
  <c r="Y42" i="20" s="1"/>
  <c r="AO42" i="20"/>
  <c r="AR42" i="20"/>
  <c r="AT42" i="20" s="1"/>
  <c r="AU42" i="20"/>
  <c r="AW42" i="20" s="1"/>
  <c r="E42" i="20"/>
  <c r="H42" i="20"/>
  <c r="J42" i="20" s="1"/>
  <c r="K42" i="20"/>
  <c r="M42" i="20" s="1"/>
  <c r="Q42" i="20"/>
  <c r="AC42" i="20"/>
  <c r="AF42" i="20"/>
  <c r="AH42" i="20" s="1"/>
  <c r="AI42" i="20"/>
  <c r="AK42" i="20" s="1"/>
  <c r="BA42" i="20"/>
  <c r="BC42" i="20" s="1"/>
  <c r="E51" i="20"/>
  <c r="H51" i="20"/>
  <c r="J51" i="20" s="1"/>
  <c r="K51" i="20"/>
  <c r="M51" i="20" s="1"/>
  <c r="AC51" i="20"/>
  <c r="AF51" i="20"/>
  <c r="AH51" i="20" s="1"/>
  <c r="AI51" i="20"/>
  <c r="AK51" i="20" s="1"/>
  <c r="BA51" i="20"/>
  <c r="BC51" i="20" s="1"/>
  <c r="Q51" i="20"/>
  <c r="T51" i="20"/>
  <c r="V51" i="20" s="1"/>
  <c r="W51" i="20"/>
  <c r="Y51" i="20" s="1"/>
  <c r="AO51" i="20"/>
  <c r="AR51" i="20"/>
  <c r="AT51" i="20" s="1"/>
  <c r="AU51" i="20"/>
  <c r="AW51" i="20" s="1"/>
  <c r="P24" i="20"/>
  <c r="N25" i="20"/>
  <c r="S44" i="20"/>
  <c r="Z44" i="20"/>
  <c r="AB44" i="20" s="1"/>
  <c r="AL44" i="20"/>
  <c r="AN44" i="20" s="1"/>
  <c r="AE44" i="20"/>
  <c r="Z36" i="20"/>
  <c r="AB36" i="20" s="1"/>
  <c r="S36" i="20"/>
  <c r="AE50" i="20"/>
  <c r="AL50" i="20"/>
  <c r="AN50" i="20" s="1"/>
  <c r="AX50" i="20"/>
  <c r="AZ50" i="20" s="1"/>
  <c r="AQ50" i="20"/>
  <c r="AN24" i="20"/>
  <c r="AL25" i="20"/>
  <c r="H6" i="14"/>
  <c r="G90" i="14"/>
  <c r="H90" i="14" s="1"/>
  <c r="F21" i="16" l="1"/>
  <c r="F29" i="16"/>
  <c r="T64" i="24"/>
  <c r="K5" i="15"/>
  <c r="L5" i="15" s="1"/>
  <c r="I67" i="15"/>
  <c r="J5" i="15"/>
  <c r="F6" i="16" s="1"/>
  <c r="AQ51" i="20"/>
  <c r="AX51" i="20"/>
  <c r="AZ51" i="20" s="1"/>
  <c r="N51" i="20"/>
  <c r="P51" i="20" s="1"/>
  <c r="G51" i="20"/>
  <c r="AE42" i="20"/>
  <c r="AL42" i="20"/>
  <c r="AN42" i="20" s="1"/>
  <c r="G42" i="20"/>
  <c r="N42" i="20"/>
  <c r="P42" i="20" s="1"/>
  <c r="AE53" i="20"/>
  <c r="AL53" i="20"/>
  <c r="AN53" i="20" s="1"/>
  <c r="AX53" i="20"/>
  <c r="AZ53" i="20" s="1"/>
  <c r="AQ53" i="20"/>
  <c r="G53" i="20"/>
  <c r="N53" i="20"/>
  <c r="P53" i="20" s="1"/>
  <c r="AE52" i="20"/>
  <c r="AL52" i="20"/>
  <c r="AN52" i="20" s="1"/>
  <c r="AX52" i="20"/>
  <c r="AZ52" i="20" s="1"/>
  <c r="AQ52" i="20"/>
  <c r="AK35" i="20"/>
  <c r="AI37" i="20"/>
  <c r="AK37" i="20" s="1"/>
  <c r="AE35" i="20"/>
  <c r="AL35" i="20"/>
  <c r="AC37" i="20"/>
  <c r="AE37" i="20" s="1"/>
  <c r="J35" i="20"/>
  <c r="H37" i="20"/>
  <c r="J37" i="20" s="1"/>
  <c r="AW35" i="20"/>
  <c r="AU37" i="20"/>
  <c r="AW37" i="20" s="1"/>
  <c r="AX35" i="20"/>
  <c r="AQ35" i="20"/>
  <c r="AO37" i="20"/>
  <c r="AQ37" i="20" s="1"/>
  <c r="V35" i="20"/>
  <c r="T37" i="20"/>
  <c r="V37" i="20" s="1"/>
  <c r="BC47" i="20"/>
  <c r="BA49" i="20"/>
  <c r="BC49" i="20" s="1"/>
  <c r="AH47" i="20"/>
  <c r="AF49" i="20"/>
  <c r="AH49" i="20" s="1"/>
  <c r="M47" i="20"/>
  <c r="K49" i="20"/>
  <c r="M49" i="20" s="1"/>
  <c r="G47" i="20"/>
  <c r="N47" i="20"/>
  <c r="E49" i="20"/>
  <c r="G49" i="20" s="1"/>
  <c r="AW47" i="20"/>
  <c r="AU49" i="20"/>
  <c r="AW49" i="20" s="1"/>
  <c r="AX47" i="20"/>
  <c r="AQ47" i="20"/>
  <c r="AO49" i="20"/>
  <c r="AQ49" i="20" s="1"/>
  <c r="T49" i="20"/>
  <c r="V49" i="20" s="1"/>
  <c r="V47" i="20"/>
  <c r="BC39" i="20"/>
  <c r="BA41" i="20"/>
  <c r="BC41" i="20" s="1"/>
  <c r="AH39" i="20"/>
  <c r="AF41" i="20"/>
  <c r="AH41" i="20" s="1"/>
  <c r="M39" i="20"/>
  <c r="K41" i="20"/>
  <c r="M41" i="20" s="1"/>
  <c r="G39" i="20"/>
  <c r="N39" i="20"/>
  <c r="E41" i="20"/>
  <c r="G41" i="20" s="1"/>
  <c r="AW39" i="20"/>
  <c r="AU41" i="20"/>
  <c r="AW41" i="20" s="1"/>
  <c r="AX39" i="20"/>
  <c r="AQ39" i="20"/>
  <c r="AO41" i="20"/>
  <c r="AQ41" i="20" s="1"/>
  <c r="T41" i="20"/>
  <c r="V41" i="20" s="1"/>
  <c r="V39" i="20"/>
  <c r="N54" i="20"/>
  <c r="P54" i="20" s="1"/>
  <c r="G54" i="20"/>
  <c r="S51" i="20"/>
  <c r="Z51" i="20"/>
  <c r="AB51" i="20" s="1"/>
  <c r="AL51" i="20"/>
  <c r="AN51" i="20" s="1"/>
  <c r="AE51" i="20"/>
  <c r="Z42" i="20"/>
  <c r="AB42" i="20" s="1"/>
  <c r="S42" i="20"/>
  <c r="AX42" i="20"/>
  <c r="AZ42" i="20" s="1"/>
  <c r="AQ42" i="20"/>
  <c r="Z53" i="20"/>
  <c r="AB53" i="20" s="1"/>
  <c r="S53" i="20"/>
  <c r="G52" i="20"/>
  <c r="N52" i="20"/>
  <c r="P52" i="20" s="1"/>
  <c r="Z52" i="20"/>
  <c r="AB52" i="20" s="1"/>
  <c r="S52" i="20"/>
  <c r="BC35" i="20"/>
  <c r="BA37" i="20"/>
  <c r="BC37" i="20" s="1"/>
  <c r="AH35" i="20"/>
  <c r="AF37" i="20"/>
  <c r="AH37" i="20" s="1"/>
  <c r="M35" i="20"/>
  <c r="K37" i="20"/>
  <c r="M37" i="20" s="1"/>
  <c r="G35" i="20"/>
  <c r="N35" i="20"/>
  <c r="E37" i="20"/>
  <c r="G37" i="20" s="1"/>
  <c r="AT35" i="20"/>
  <c r="AR37" i="20"/>
  <c r="AT37" i="20" s="1"/>
  <c r="Y35" i="20"/>
  <c r="W37" i="20"/>
  <c r="Y37" i="20" s="1"/>
  <c r="Z35" i="20"/>
  <c r="S35" i="20"/>
  <c r="Q37" i="20"/>
  <c r="S37" i="20" s="1"/>
  <c r="AK47" i="20"/>
  <c r="AI49" i="20"/>
  <c r="AK49" i="20" s="1"/>
  <c r="AE47" i="20"/>
  <c r="AL47" i="20"/>
  <c r="AC49" i="20"/>
  <c r="AE49" i="20" s="1"/>
  <c r="J47" i="20"/>
  <c r="H49" i="20"/>
  <c r="J49" i="20" s="1"/>
  <c r="AR49" i="20"/>
  <c r="AT49" i="20" s="1"/>
  <c r="AT47" i="20"/>
  <c r="Y47" i="20"/>
  <c r="W49" i="20"/>
  <c r="Y49" i="20" s="1"/>
  <c r="Z47" i="20"/>
  <c r="S47" i="20"/>
  <c r="Q49" i="20"/>
  <c r="S49" i="20" s="1"/>
  <c r="AK39" i="20"/>
  <c r="AI41" i="20"/>
  <c r="AK41" i="20" s="1"/>
  <c r="AE39" i="20"/>
  <c r="AL39" i="20"/>
  <c r="AC41" i="20"/>
  <c r="AE41" i="20" s="1"/>
  <c r="J39" i="20"/>
  <c r="H41" i="20"/>
  <c r="J41" i="20" s="1"/>
  <c r="AR41" i="20"/>
  <c r="AT41" i="20" s="1"/>
  <c r="AT39" i="20"/>
  <c r="Y39" i="20"/>
  <c r="W41" i="20"/>
  <c r="Y41" i="20" s="1"/>
  <c r="Z39" i="20"/>
  <c r="S39" i="20"/>
  <c r="Q41" i="20"/>
  <c r="S41" i="20" s="1"/>
  <c r="AQ54" i="20"/>
  <c r="AX54" i="20"/>
  <c r="AZ54" i="20" s="1"/>
  <c r="S54" i="20"/>
  <c r="Z54" i="20"/>
  <c r="AB54" i="20" s="1"/>
  <c r="AL54" i="20"/>
  <c r="AN54" i="20" s="1"/>
  <c r="AE54" i="20"/>
  <c r="J52" i="15"/>
  <c r="K52" i="15"/>
  <c r="L52" i="15" s="1"/>
  <c r="H67" i="15"/>
  <c r="J67" i="15" l="1"/>
  <c r="K67" i="15"/>
  <c r="L67" i="15" s="1"/>
  <c r="AB39" i="20"/>
  <c r="Z41" i="20"/>
  <c r="AB41" i="20" s="1"/>
  <c r="AL41" i="20"/>
  <c r="AN41" i="20" s="1"/>
  <c r="AN39" i="20"/>
  <c r="AB47" i="20"/>
  <c r="Z49" i="20"/>
  <c r="AB49" i="20" s="1"/>
  <c r="AL49" i="20"/>
  <c r="AN49" i="20" s="1"/>
  <c r="AN47" i="20"/>
  <c r="AB35" i="20"/>
  <c r="Z37" i="20"/>
  <c r="AB37" i="20" s="1"/>
  <c r="P35" i="20"/>
  <c r="N37" i="20"/>
  <c r="P37" i="20" s="1"/>
  <c r="AZ39" i="20"/>
  <c r="AX41" i="20"/>
  <c r="AZ41" i="20" s="1"/>
  <c r="N41" i="20"/>
  <c r="P41" i="20" s="1"/>
  <c r="P39" i="20"/>
  <c r="AZ47" i="20"/>
  <c r="AX49" i="20"/>
  <c r="AZ49" i="20" s="1"/>
  <c r="N49" i="20"/>
  <c r="P49" i="20" s="1"/>
  <c r="P47" i="20"/>
  <c r="AZ35" i="20"/>
  <c r="AX37" i="20"/>
  <c r="AZ37" i="20" s="1"/>
  <c r="AN35" i="20"/>
  <c r="AL37" i="20"/>
  <c r="AN37" i="20" s="1"/>
</calcChain>
</file>

<file path=xl/comments1.xml><?xml version="1.0" encoding="utf-8"?>
<comments xmlns="http://schemas.openxmlformats.org/spreadsheetml/2006/main">
  <authors>
    <author>usuario</author>
  </authors>
  <commentList>
    <comment ref="D5" authorId="0">
      <text>
        <r>
          <rPr>
            <b/>
            <sz val="9"/>
            <color indexed="81"/>
            <rFont val="Tahoma"/>
            <family val="2"/>
          </rPr>
          <t>usuario:</t>
        </r>
        <r>
          <rPr>
            <sz val="9"/>
            <color indexed="81"/>
            <rFont val="Tahoma"/>
            <family val="2"/>
          </rPr>
          <t xml:space="preserve">
Incluye Cancer de Cervix.</t>
        </r>
      </text>
    </comment>
  </commentList>
</comments>
</file>

<file path=xl/comments2.xml><?xml version="1.0" encoding="utf-8"?>
<comments xmlns="http://schemas.openxmlformats.org/spreadsheetml/2006/main">
  <authors>
    <author>usuario</author>
  </authors>
  <commentList>
    <comment ref="C5" authorId="0">
      <text>
        <r>
          <rPr>
            <b/>
            <sz val="9"/>
            <color indexed="81"/>
            <rFont val="Tahoma"/>
            <family val="2"/>
          </rPr>
          <t>usuario:</t>
        </r>
        <r>
          <rPr>
            <sz val="9"/>
            <color indexed="81"/>
            <rFont val="Tahoma"/>
            <family val="2"/>
          </rPr>
          <t xml:space="preserve">
El número de camas corresponde al promedio de la dotación mensual reportada.</t>
        </r>
      </text>
    </comment>
    <comment ref="E5" authorId="0">
      <text>
        <r>
          <rPr>
            <b/>
            <sz val="9"/>
            <color indexed="81"/>
            <rFont val="Tahoma"/>
            <family val="2"/>
          </rPr>
          <t>usuario:</t>
        </r>
        <r>
          <rPr>
            <sz val="9"/>
            <color indexed="81"/>
            <rFont val="Tahoma"/>
            <family val="2"/>
          </rPr>
          <t xml:space="preserve">
El número de camas corresponde al promedio de la dotación mensual reportada.</t>
        </r>
      </text>
    </comment>
  </commentList>
</comments>
</file>

<file path=xl/comments3.xml><?xml version="1.0" encoding="utf-8"?>
<comments xmlns="http://schemas.openxmlformats.org/spreadsheetml/2006/main">
  <authors>
    <author>usuario</author>
  </authors>
  <commentList>
    <comment ref="C4" authorId="0">
      <text>
        <r>
          <rPr>
            <b/>
            <sz val="9"/>
            <color indexed="81"/>
            <rFont val="Tahoma"/>
            <family val="2"/>
          </rPr>
          <t>usuario:</t>
        </r>
        <r>
          <rPr>
            <sz val="9"/>
            <color indexed="81"/>
            <rFont val="Tahoma"/>
            <family val="2"/>
          </rPr>
          <t xml:space="preserve">
Plazas PU , contratos y salarios.</t>
        </r>
      </text>
    </comment>
  </commentList>
</comments>
</file>

<file path=xl/comments4.xml><?xml version="1.0" encoding="utf-8"?>
<comments xmlns="http://schemas.openxmlformats.org/spreadsheetml/2006/main">
  <authors>
    <author>usuario</author>
  </authors>
  <commentList>
    <comment ref="S3" authorId="0">
      <text>
        <r>
          <rPr>
            <b/>
            <sz val="9"/>
            <color indexed="81"/>
            <rFont val="Tahoma"/>
            <family val="2"/>
          </rPr>
          <t>usuario:</t>
        </r>
        <r>
          <rPr>
            <sz val="9"/>
            <color indexed="81"/>
            <rFont val="Tahoma"/>
            <family val="2"/>
          </rPr>
          <t xml:space="preserve">
Como presupuesto ordinario. Para plan anticrisis: sustitución cuotas de recuperación, medicamentos.</t>
        </r>
      </text>
    </comment>
    <comment ref="AH3" authorId="0">
      <text>
        <r>
          <rPr>
            <b/>
            <sz val="9"/>
            <color indexed="81"/>
            <rFont val="Tahoma"/>
            <family val="2"/>
          </rPr>
          <t>usuario:</t>
        </r>
        <r>
          <rPr>
            <sz val="9"/>
            <color indexed="81"/>
            <rFont val="Tahoma"/>
            <family val="2"/>
          </rPr>
          <t xml:space="preserve">
Como presupuesto ordinario. Para plan anticrisis: sustitución cuotas de recuperación, medicamentos.</t>
        </r>
      </text>
    </comment>
  </commentList>
</comments>
</file>

<file path=xl/comments5.xml><?xml version="1.0" encoding="utf-8"?>
<comments xmlns="http://schemas.openxmlformats.org/spreadsheetml/2006/main">
  <authors>
    <author>usuario</author>
  </authors>
  <commentList>
    <comment ref="E3" authorId="0">
      <text>
        <r>
          <rPr>
            <b/>
            <sz val="9"/>
            <color indexed="81"/>
            <rFont val="Tahoma"/>
            <family val="2"/>
          </rPr>
          <t>usuario:</t>
        </r>
        <r>
          <rPr>
            <sz val="9"/>
            <color indexed="81"/>
            <rFont val="Tahoma"/>
            <family val="2"/>
          </rPr>
          <t xml:space="preserve">
Rendimiento observado por hora: Número de actividades realizadas por hora.</t>
        </r>
      </text>
    </comment>
    <comment ref="F3" authorId="0">
      <text>
        <r>
          <rPr>
            <b/>
            <sz val="9"/>
            <color indexed="81"/>
            <rFont val="Tahoma"/>
            <family val="2"/>
          </rPr>
          <t>usuario:</t>
        </r>
        <r>
          <rPr>
            <sz val="9"/>
            <color indexed="81"/>
            <rFont val="Tahoma"/>
            <family val="2"/>
          </rPr>
          <t xml:space="preserve">
Actividades realizadas por hora: Consultas por hora, cirugías por hora.
 </t>
        </r>
      </text>
    </comment>
  </commentList>
</comments>
</file>

<file path=xl/sharedStrings.xml><?xml version="1.0" encoding="utf-8"?>
<sst xmlns="http://schemas.openxmlformats.org/spreadsheetml/2006/main" count="1776" uniqueCount="880">
  <si>
    <t>Trastornos mentales y del comportamiento (F00-F99)</t>
  </si>
  <si>
    <t>Capítulo VI</t>
  </si>
  <si>
    <t>Enfermedades del sistema nervioso (G00-G99)</t>
  </si>
  <si>
    <t>Capítulo VII</t>
  </si>
  <si>
    <t>Enfermedades del ojo y sus anexos (H00-H59)</t>
  </si>
  <si>
    <t>Capítulo VIII</t>
  </si>
  <si>
    <t xml:space="preserve">Enfermedades del oído y de la apófisis mastoides (H60-H95) </t>
  </si>
  <si>
    <t>Capítulo IX</t>
  </si>
  <si>
    <t xml:space="preserve">Enfermedades del sistema circulatorio (I00-I99) </t>
  </si>
  <si>
    <t>Capítulo X</t>
  </si>
  <si>
    <t xml:space="preserve">Enfermedades del sistema respiratorio (J00-J99) </t>
  </si>
  <si>
    <t>Capítulo XI</t>
  </si>
  <si>
    <t>Enfermedades del sistema digestivo (K00-K93)</t>
  </si>
  <si>
    <t>Capítulo XII</t>
  </si>
  <si>
    <t>Enfermedades de la piel y del tejido subcutáneo (L00-L99)</t>
  </si>
  <si>
    <t>Capítulo XIII</t>
  </si>
  <si>
    <t>Enfermedades del sistema osteomuscular y del tejido conjuntivo (M00-M99)</t>
  </si>
  <si>
    <t>Capítulo XIV</t>
  </si>
  <si>
    <t>Enfermedades del sistema genitourinario (N00-N99)</t>
  </si>
  <si>
    <t>Capítulo XV</t>
  </si>
  <si>
    <t>Embarazo, parto y puerperio (O00-O99)</t>
  </si>
  <si>
    <t>Capítulo XVI</t>
  </si>
  <si>
    <t>Ciertas afecciones originadas en el período perinatal (P00-P96)</t>
  </si>
  <si>
    <t xml:space="preserve"> Capítulo XVII</t>
  </si>
  <si>
    <t>Malformaciones congénitas, deformidades y anomalías cromosómicas (Q00-Q99)</t>
  </si>
  <si>
    <t xml:space="preserve"> Capítulo XVIII</t>
  </si>
  <si>
    <t>Síntomas, signos y hallazgos anormales clínicos y de laboratorio, no clasificados en otra parte (R00-R99)</t>
  </si>
  <si>
    <t>Capítulo XIX</t>
  </si>
  <si>
    <t>Traumatismos, envenenamientos y algunas otras consecuencias de causas externas (S00-T98)</t>
  </si>
  <si>
    <t xml:space="preserve"> Capítulo XX</t>
  </si>
  <si>
    <t>Causas externas de morbilidad y de mortalidad (V01-Y98)</t>
  </si>
  <si>
    <t xml:space="preserve"> Capítulo XXI </t>
  </si>
  <si>
    <t>Factores que influyen en el estado de salud y contacto con los servicios de salud (Z00-Z99)</t>
  </si>
  <si>
    <t>Total</t>
  </si>
  <si>
    <t>% de Consultas</t>
  </si>
  <si>
    <t>% Muertos Vs. Capítulo CIE 10</t>
  </si>
  <si>
    <t>% Muertos Vs. Total</t>
  </si>
  <si>
    <t>Referidos A</t>
  </si>
  <si>
    <t>% Pacientes referidos a Otras Instituciones</t>
  </si>
  <si>
    <t>Referidos De</t>
  </si>
  <si>
    <t>% Pacientes referidos de Otras Instituciones</t>
  </si>
  <si>
    <t>Medicina</t>
  </si>
  <si>
    <t>Cirugía</t>
  </si>
  <si>
    <t>Ginecología</t>
  </si>
  <si>
    <t>Obstetricia</t>
  </si>
  <si>
    <t>Pediatría</t>
  </si>
  <si>
    <t>Neonatología</t>
  </si>
  <si>
    <t>Psiquiatría</t>
  </si>
  <si>
    <t>Otros (Convenios)</t>
  </si>
  <si>
    <t>Total Egresos</t>
  </si>
  <si>
    <t>Partos por cesáreas</t>
  </si>
  <si>
    <t>Rendimiento Observado Vs. Norma Rendimiento</t>
  </si>
  <si>
    <t>17. Programación de Producción Servicios 2011</t>
  </si>
  <si>
    <t>1. Electivas para Hospitalización</t>
  </si>
  <si>
    <t>2. Electivas Ambulatorias</t>
  </si>
  <si>
    <t>3. De Emergencia para Hospitalización</t>
  </si>
  <si>
    <t>4. De Emergencia Ambulatoria</t>
  </si>
  <si>
    <t>Total Cirugía Mayor</t>
  </si>
  <si>
    <t>Cirugía Menor</t>
  </si>
  <si>
    <t>Otros</t>
  </si>
  <si>
    <t>Cantidad</t>
  </si>
  <si>
    <t>Atención Ambulatoria</t>
  </si>
  <si>
    <t>Cirugías Mayores</t>
  </si>
  <si>
    <t>A-2009</t>
  </si>
  <si>
    <t>Variación 2009 / 2008</t>
  </si>
  <si>
    <t>Servicio/ procedimiento</t>
  </si>
  <si>
    <t>Unidad de Medida</t>
  </si>
  <si>
    <t>Cantidad Unidad de Medida</t>
  </si>
  <si>
    <t>Radiología</t>
  </si>
  <si>
    <t>Estudios</t>
  </si>
  <si>
    <t>Hospitalización</t>
  </si>
  <si>
    <t>Consulta</t>
  </si>
  <si>
    <t>Emergencias</t>
  </si>
  <si>
    <t>Laboratorio Clínico</t>
  </si>
  <si>
    <t>Examen</t>
  </si>
  <si>
    <t>Anatomía Patológica</t>
  </si>
  <si>
    <t>Procedimientos AP</t>
  </si>
  <si>
    <t>Procedimientos</t>
  </si>
  <si>
    <t>Banco de Sangre</t>
  </si>
  <si>
    <t>Unidades de Sangre</t>
  </si>
  <si>
    <t>Farmacia</t>
  </si>
  <si>
    <t>Recetas Despachadas</t>
  </si>
  <si>
    <t>% Unidad Medida</t>
  </si>
  <si>
    <t>Servicios Finales</t>
  </si>
  <si>
    <t>Alimentación y Dietas</t>
  </si>
  <si>
    <t>Ración</t>
  </si>
  <si>
    <t>Lavandería</t>
  </si>
  <si>
    <t>Libras</t>
  </si>
  <si>
    <t>Mantenimiento Correctivo</t>
  </si>
  <si>
    <t># de órdenes</t>
  </si>
  <si>
    <t>Mantenimiento Preventivo</t>
  </si>
  <si>
    <t>Transporte</t>
  </si>
  <si>
    <t>Kilómetros</t>
  </si>
  <si>
    <t>Servicio Hospitalización</t>
  </si>
  <si>
    <t xml:space="preserve">No. Camas </t>
  </si>
  <si>
    <t>Emergencia</t>
  </si>
  <si>
    <t>Cuidados Intermedios</t>
  </si>
  <si>
    <t>Cuidados Intensivos</t>
  </si>
  <si>
    <t>Trabajo de parto</t>
  </si>
  <si>
    <t>Año 2009</t>
  </si>
  <si>
    <t xml:space="preserve">% Camas </t>
  </si>
  <si>
    <t>Concepto</t>
  </si>
  <si>
    <t>Existentes</t>
  </si>
  <si>
    <t>Funcionando</t>
  </si>
  <si>
    <t>% Funcionando</t>
  </si>
  <si>
    <t>Quirófano General</t>
  </si>
  <si>
    <t>Quirófano Obstétrico</t>
  </si>
  <si>
    <t>Quirófano Emergencias</t>
  </si>
  <si>
    <t>Total Quirófanos</t>
  </si>
  <si>
    <t>8.3 Dotación de Consultorios Médicos.</t>
  </si>
  <si>
    <t>8.2 Dotación de Quirófanos</t>
  </si>
  <si>
    <t>8. Información general de camas, quirófanos y consultorios 2009 y 2010</t>
  </si>
  <si>
    <t>Año 2010</t>
  </si>
  <si>
    <t>No. de Plazas y Horas Disponibles</t>
  </si>
  <si>
    <t>Recursos Humanos</t>
  </si>
  <si>
    <t>No. Plazas -GOES</t>
  </si>
  <si>
    <t>No. Horas Día -GOES</t>
  </si>
  <si>
    <t>No. Plazas -OTROS</t>
  </si>
  <si>
    <t>No. Horas Día -Plazas OTROS</t>
  </si>
  <si>
    <t>Total Plazas Hospital</t>
  </si>
  <si>
    <t>Total Horas Día Hospital</t>
  </si>
  <si>
    <t>Total Horas Anuales Hospital</t>
  </si>
  <si>
    <t>Médicos Especialistas.</t>
  </si>
  <si>
    <t>Total Psiquiatría</t>
  </si>
  <si>
    <t>% Atención por Médico Graduado</t>
  </si>
  <si>
    <t>% Atención por Internos / Enfermería / Otros</t>
  </si>
  <si>
    <t>Médicos Generales</t>
  </si>
  <si>
    <t>Médicos Residentes</t>
  </si>
  <si>
    <t>Odontólogos</t>
  </si>
  <si>
    <t>Enfermeras</t>
  </si>
  <si>
    <t>Auxiliares de Enfermería</t>
  </si>
  <si>
    <t>Personal que labora en Laboratorio</t>
  </si>
  <si>
    <t>Personal que labora en Radiología</t>
  </si>
  <si>
    <t>Personal que labora en Anestesia</t>
  </si>
  <si>
    <t>Personal que labora en Terapia Física y Respiratoria</t>
  </si>
  <si>
    <t>Personal que labora en Patología</t>
  </si>
  <si>
    <t>Personal que labora en Farmacia</t>
  </si>
  <si>
    <t>Porcentaje Plazas y Horas</t>
  </si>
  <si>
    <t>% Plazas GOES</t>
  </si>
  <si>
    <t>% Horas Día GOES</t>
  </si>
  <si>
    <t>Promedio Horas por Plaza GOES</t>
  </si>
  <si>
    <t>% Total Plazas</t>
  </si>
  <si>
    <t>% Total Horas Día</t>
  </si>
  <si>
    <t>Promedio Horas Total Plazas</t>
  </si>
  <si>
    <t>9. Recurso Humano Hospital a Diciembre 31 de 2010</t>
  </si>
  <si>
    <t>Días Laborales Mes</t>
  </si>
  <si>
    <t>DISTRIBUCION HORAS CONTRATADAS POR MES</t>
  </si>
  <si>
    <t>% HORAS DISTRIBUIDAS</t>
  </si>
  <si>
    <t>Servicio</t>
  </si>
  <si>
    <t>Horas contratadas por Día</t>
  </si>
  <si>
    <t>Horas contratadas por Mes</t>
  </si>
  <si>
    <t xml:space="preserve"> Horas Mes Asistenciales</t>
  </si>
  <si>
    <t>Horas Administración</t>
  </si>
  <si>
    <t>Partos</t>
  </si>
  <si>
    <t>Quirófano</t>
  </si>
  <si>
    <t xml:space="preserve">Total Horas Asistenciales </t>
  </si>
  <si>
    <t>Verifica Horas</t>
  </si>
  <si>
    <t>% Horas Administración</t>
  </si>
  <si>
    <t>% Horas Asistenciales</t>
  </si>
  <si>
    <t>Total Consulta</t>
  </si>
  <si>
    <t>Total Emergencias</t>
  </si>
  <si>
    <t>Total Cirugía</t>
  </si>
  <si>
    <t>Total Ginecología</t>
  </si>
  <si>
    <t>Total Obstetricia</t>
  </si>
  <si>
    <t>Total Pediatría</t>
  </si>
  <si>
    <t>Total Neonatología</t>
  </si>
  <si>
    <t>Total Hospitalización Otros</t>
  </si>
  <si>
    <t>Total Servicios</t>
  </si>
  <si>
    <t>Presupuesto Votado 2010</t>
  </si>
  <si>
    <t>Rubros principales</t>
  </si>
  <si>
    <t>Fondos GOES</t>
  </si>
  <si>
    <t>Recursos Propios</t>
  </si>
  <si>
    <t>Presupuesto Total</t>
  </si>
  <si>
    <t>% del Rubro en el Presupuesto</t>
  </si>
  <si>
    <t>Préstamos Externos</t>
  </si>
  <si>
    <t>% Presupuesto Total</t>
  </si>
  <si>
    <t>Remuneraciones</t>
  </si>
  <si>
    <t>Medicamentos</t>
  </si>
  <si>
    <t>Insumos Médico Quirúrgicos.</t>
  </si>
  <si>
    <t>Combustible y Lubricantes,</t>
  </si>
  <si>
    <t>Alimento para humanos</t>
  </si>
  <si>
    <t>Servicios Básicos</t>
  </si>
  <si>
    <t>Total Presupuesto</t>
  </si>
  <si>
    <t>11. Presupuesto de Funcionamiento 2010 y 2011</t>
  </si>
  <si>
    <t>Presupuesto Modificado 2010</t>
  </si>
  <si>
    <t>Presupuesto Ejecutado 2010</t>
  </si>
  <si>
    <t>Presupuesto Votado 2011</t>
  </si>
  <si>
    <t>Variación Ppto Votado 2011 Vs Ppto Modificado 2010</t>
  </si>
  <si>
    <t>Porcentaje presupuesto ejecutado 2010 (Ejec vs. Mod)</t>
  </si>
  <si>
    <t>Indicador</t>
  </si>
  <si>
    <t>Medicina Interna</t>
  </si>
  <si>
    <t xml:space="preserve">Ginecología </t>
  </si>
  <si>
    <t>Número de cirugías electivas programadas</t>
  </si>
  <si>
    <t>Número de cirugías electivas canceladas</t>
  </si>
  <si>
    <t>Porcentaje de Cirugías electivas canceladas</t>
  </si>
  <si>
    <t>Total de Partos Atendidos (Partos vaginales + cesáreas)</t>
  </si>
  <si>
    <t>Total Cesáreas</t>
  </si>
  <si>
    <t>Número de infecciones nosocomiales</t>
  </si>
  <si>
    <t>Número de muertes intrahospitalarias en las primeras 48 horas</t>
  </si>
  <si>
    <t>Porcentaje muertes intrahospitalarias antes de 48 horas</t>
  </si>
  <si>
    <t>Número de muertes intrahospitalarias después de 48 horas</t>
  </si>
  <si>
    <t>Porcentaje muertes intrahospitalarias después de 48 horas</t>
  </si>
  <si>
    <t>Pacientes recibidos de otras Instituciones.</t>
  </si>
  <si>
    <t>Pacientes referidos a otras instituciones.</t>
  </si>
  <si>
    <t>% Ejecución del Presupuesto de funcionamiento</t>
  </si>
  <si>
    <t>12. Información Gestión Servicios</t>
  </si>
  <si>
    <t>Personal Rotativo</t>
  </si>
  <si>
    <t>Otro Personal</t>
  </si>
  <si>
    <t>Días totales año</t>
  </si>
  <si>
    <t>Sábados y Domingos</t>
  </si>
  <si>
    <t>Otros Asuetos de Ley</t>
  </si>
  <si>
    <t>Subtotal días laborables</t>
  </si>
  <si>
    <t xml:space="preserve">% Tiempo Ausentismo </t>
  </si>
  <si>
    <t>Días ausentismo</t>
  </si>
  <si>
    <t>Días Laborales Año Descontando Ausentismo</t>
  </si>
  <si>
    <t>Servicios</t>
  </si>
  <si>
    <t>Tiempo por Actividad (Minutos)</t>
  </si>
  <si>
    <t>Médico General</t>
  </si>
  <si>
    <t>Médico Especialista</t>
  </si>
  <si>
    <t xml:space="preserve">Hospitalización </t>
  </si>
  <si>
    <t>Ingreso Paciente</t>
  </si>
  <si>
    <t>Control paciente ingresado</t>
  </si>
  <si>
    <t>Atención de partos.</t>
  </si>
  <si>
    <t>Procedimiento</t>
  </si>
  <si>
    <t>Cesárea</t>
  </si>
  <si>
    <t>Procedimiento más frecuentes</t>
  </si>
  <si>
    <t>Procedimientos más complejos</t>
  </si>
  <si>
    <t>Pequeña Cirugía</t>
  </si>
  <si>
    <t>Cirugías</t>
  </si>
  <si>
    <t>% Pequeña Cirugía realizada por el médico</t>
  </si>
  <si>
    <t>13. Normas de Programación</t>
  </si>
  <si>
    <t>13.1 Días Laborales al Año</t>
  </si>
  <si>
    <t>13.2 Criterios de Programación Hospitalaria para el Médico</t>
  </si>
  <si>
    <t>Atención Partos</t>
  </si>
  <si>
    <t>Parto Vaginal</t>
  </si>
  <si>
    <t>Cesáreas</t>
  </si>
  <si>
    <t>Total Partos</t>
  </si>
  <si>
    <t>Cirugía Mayor</t>
  </si>
  <si>
    <t>Cantidad 2010</t>
  </si>
  <si>
    <t>Horas Anuales Disponibles Médico (12 meses)</t>
  </si>
  <si>
    <t>Rendimiento Observado</t>
  </si>
  <si>
    <t xml:space="preserve">Norma Rendimiento </t>
  </si>
  <si>
    <t>Consulta Médica General</t>
  </si>
  <si>
    <t>Consulta Médica Especializada</t>
  </si>
  <si>
    <t>Consulta Médica en Emergencia</t>
  </si>
  <si>
    <t>14. Producción y rendimientos atención ambulatoria, partos y cirugías, 2010</t>
  </si>
  <si>
    <t>Dotación promedio mensual de camas</t>
  </si>
  <si>
    <t>No. Ingresos</t>
  </si>
  <si>
    <t>No. Egresos</t>
  </si>
  <si>
    <t>Relación Ingreso / Egreso</t>
  </si>
  <si>
    <t>Porcentaje Ocupación</t>
  </si>
  <si>
    <t>Promedio Día Estancia</t>
  </si>
  <si>
    <t>Intervalo sustitución cama</t>
  </si>
  <si>
    <t>Giro Cama</t>
  </si>
  <si>
    <t>Días Paciente</t>
  </si>
  <si>
    <t>Días Cama Disponible</t>
  </si>
  <si>
    <t>Días Paciente Egresado</t>
  </si>
  <si>
    <t>Días Paciente - No. Ingresos</t>
  </si>
  <si>
    <t>Total Hospital</t>
  </si>
  <si>
    <t>Norma Tiempo (minutos) por Actividad</t>
  </si>
  <si>
    <t>Dato Ideal período</t>
  </si>
  <si>
    <t xml:space="preserve">Variación Dato Real Vs. Dato Ideal </t>
  </si>
  <si>
    <t>15. Producción y rendImientos en Hospitalización, 2010</t>
  </si>
  <si>
    <t>Total Horas Asistenciales por Mes</t>
  </si>
  <si>
    <t>Total Horas Asistenciales por Período</t>
  </si>
  <si>
    <t>Producción</t>
  </si>
  <si>
    <t>Rendimiento Observado Total Horas Asistenciales (Actividades por Hora)</t>
  </si>
  <si>
    <t>Rendimiento Esperado (Actividades por Hora)</t>
  </si>
  <si>
    <t>Horas Asistenciales Requeridas</t>
  </si>
  <si>
    <t>Diferencia Horas Disponibles Vs. Requeridas (Asistenciales)</t>
  </si>
  <si>
    <t>Rendimiento Observado Total Horas Asistenciales</t>
  </si>
  <si>
    <t>Rendimiento Esperado</t>
  </si>
  <si>
    <t>Horas Asistenciales Requeridas para el Período</t>
  </si>
  <si>
    <t>Horas Asistenciales Disponibles para el Período</t>
  </si>
  <si>
    <t>Diferencia Horas Disponibles Vs. Requeridas Periodo</t>
  </si>
  <si>
    <t>Diferencia Horas Disponibles Vs. Requeridas Mes</t>
  </si>
  <si>
    <t>Hospitalización Medicina</t>
  </si>
  <si>
    <t>Total Hospitalización Medicina</t>
  </si>
  <si>
    <t>Hospitalización Cirugía</t>
  </si>
  <si>
    <t>Total Hospitalización Cirugía</t>
  </si>
  <si>
    <t>Hospitalización Ginecología</t>
  </si>
  <si>
    <t>Total Hospitalización Ginecología</t>
  </si>
  <si>
    <t>Hospitalización Obstetricia</t>
  </si>
  <si>
    <t>Total Hospitalización Obstetricia</t>
  </si>
  <si>
    <t>Hospitalización Pediatría</t>
  </si>
  <si>
    <t>Total Hospitalización Pediatría</t>
  </si>
  <si>
    <t>Hospitalización Neonatología</t>
  </si>
  <si>
    <t>Total Hospitalización Neonatología</t>
  </si>
  <si>
    <t>Hospitalización Otros</t>
  </si>
  <si>
    <t>Cirugía (Quirófanos)</t>
  </si>
  <si>
    <t>Total Cirugía (Quirófanos)</t>
  </si>
  <si>
    <t>Total Pequeña Cirugía</t>
  </si>
  <si>
    <t>16. Producción y rendimientos por Servicio para el Médico, de 2010</t>
  </si>
  <si>
    <t>Partos y Cesáreas</t>
  </si>
  <si>
    <t>Egresos</t>
  </si>
  <si>
    <t>2010 Vs 2009</t>
  </si>
  <si>
    <t>Año 2011 Programación</t>
  </si>
  <si>
    <t>18. Producción Servicios Intermedios 2010.</t>
  </si>
  <si>
    <t>CodHospital</t>
  </si>
  <si>
    <t>No. de Recetas Despachadas por Servicio Final 2008</t>
  </si>
  <si>
    <t>No. de Recetas Despachadas por Servicio Final programadas 2010</t>
  </si>
  <si>
    <t>Total No. Recetas 2010</t>
  </si>
  <si>
    <t>Consulta Externa</t>
  </si>
  <si>
    <t>Actividades Programadas Año 2011</t>
  </si>
  <si>
    <t>Estudios de radiología por servicio final 2009</t>
  </si>
  <si>
    <t>Estudios de radiología por servicio final programados 2011</t>
  </si>
  <si>
    <t>Total Estudios de radiología 2011</t>
  </si>
  <si>
    <t>Exámenes de laboratorio clínico por servicio final 2009</t>
  </si>
  <si>
    <t>Exámenes de laboratorio clínico por servicio final programados 2011</t>
  </si>
  <si>
    <t>5. Producción de Servicios Finales 2010 y 2009</t>
  </si>
  <si>
    <t>% Tipo de Producción 2010</t>
  </si>
  <si>
    <t>Cantidad 2009</t>
  </si>
  <si>
    <t>% Tipo de Producción 2009</t>
  </si>
  <si>
    <t>6. Producción de Servicios Intermedios por Servicio Final 2010</t>
  </si>
  <si>
    <t>Producción Scio Final 2010</t>
  </si>
  <si>
    <t>Fuente: WinSig 2010</t>
  </si>
  <si>
    <t>Total exámenes de laboratorio clínico 2011</t>
  </si>
  <si>
    <t>Procedimientos de anatomía patológica por servicio final 2009</t>
  </si>
  <si>
    <t>Procedimientos de anatomía patológica por servicio final programados 2011</t>
  </si>
  <si>
    <t>Total procedimientos de anatomía patológica 2011</t>
  </si>
  <si>
    <t>Unidades de Sangre por servicio final 2009</t>
  </si>
  <si>
    <t>Unidades de Sangre por servicio final programadas 2011</t>
  </si>
  <si>
    <t>Total Unidades de Sangre 2011</t>
  </si>
  <si>
    <t>19. Programación Servicios Generales 2011</t>
  </si>
  <si>
    <t>Raciones por servicio final 2009</t>
  </si>
  <si>
    <t>Raciones por servicio final programadas 2011</t>
  </si>
  <si>
    <t>Total Raciones  2011</t>
  </si>
  <si>
    <t>Libras de ropa por servicio final 2009</t>
  </si>
  <si>
    <t>Libras de ropa por servicio final programadas 2011</t>
  </si>
  <si>
    <t>Total Libras de ropa 2011</t>
  </si>
  <si>
    <t>No. de órdenes mantenimiento correctivo 2009</t>
  </si>
  <si>
    <t>No. de órdenes mantenimiento correctivo programados 2011</t>
  </si>
  <si>
    <t>Total No. de órdenes mantenimiento correctivo 2011</t>
  </si>
  <si>
    <t>No. de órdenes mantenimiento preventivo 2009</t>
  </si>
  <si>
    <t>No. de órdenes mantenimiento preventivo programadas 2011</t>
  </si>
  <si>
    <t>Total No. de órdenes mantenimiento preventivo 2011</t>
  </si>
  <si>
    <t>No. de Kilómetros por servicio final 2009</t>
  </si>
  <si>
    <t>No. de Kilómetros por servicio final programados 2011</t>
  </si>
  <si>
    <t>Total No. de Kilómetros 2011</t>
  </si>
  <si>
    <t>20. Programación Gestión Servicios 2011</t>
  </si>
  <si>
    <t>PROGRAMACIÓN OPERATIVA 2011</t>
  </si>
  <si>
    <t xml:space="preserve">Tipo de Servicios Hospitalarios </t>
  </si>
  <si>
    <t>Actividades Hospitalarias</t>
  </si>
  <si>
    <t>No. Actividades programadas (Año 2011)</t>
  </si>
  <si>
    <t>Evaluación de actividades realizadas</t>
  </si>
  <si>
    <t>ENERO</t>
  </si>
  <si>
    <t>FEBRERO</t>
  </si>
  <si>
    <t>MARZO</t>
  </si>
  <si>
    <t>CONSOLIDADO TRIMESTRE 1</t>
  </si>
  <si>
    <t>ABRIL</t>
  </si>
  <si>
    <t>MAYO</t>
  </si>
  <si>
    <t>JUNIO</t>
  </si>
  <si>
    <t>CONSOLIDADO TRIMESTRE 2</t>
  </si>
  <si>
    <t>JULIO</t>
  </si>
  <si>
    <t>AGOSTO</t>
  </si>
  <si>
    <t>SEPTIEMBRE</t>
  </si>
  <si>
    <t>CONSOLIDADO TRIMESTRE 3</t>
  </si>
  <si>
    <t>OCTUBRE</t>
  </si>
  <si>
    <t>NOVIEMBRE</t>
  </si>
  <si>
    <t>DICIEMBRE</t>
  </si>
  <si>
    <t>CONSOLIDADO TRIMESTRE 4</t>
  </si>
  <si>
    <t>TOTAL ANUAL</t>
  </si>
  <si>
    <t>Prog.</t>
  </si>
  <si>
    <t>Realiz.</t>
  </si>
  <si>
    <t>%</t>
  </si>
  <si>
    <t>SERVICIOS FINALES</t>
  </si>
  <si>
    <t>CONSULTA AMBULATORIA</t>
  </si>
  <si>
    <t>Consultas</t>
  </si>
  <si>
    <t>Total de consultas</t>
  </si>
  <si>
    <t>HOSPITALIZACIÓN (Egresos)</t>
  </si>
  <si>
    <t>Atención de Partos</t>
  </si>
  <si>
    <t>Partos vaginales</t>
  </si>
  <si>
    <t>Electivas para Hospitalización</t>
  </si>
  <si>
    <t>Electivas Ambulatorias</t>
  </si>
  <si>
    <t>De Emergencia para Hospitalización</t>
  </si>
  <si>
    <t>De Emergencia Ambulatoria</t>
  </si>
  <si>
    <t>SERVICIOS INTERMEDIOS</t>
  </si>
  <si>
    <t>Radiodiagnóstico</t>
  </si>
  <si>
    <t>Estudios de radiología  de consulta ambulatoria (Consulta Externa y Emergencia)</t>
  </si>
  <si>
    <t>Estudios de radiología servicios de hospitalización</t>
  </si>
  <si>
    <t xml:space="preserve">Total de estudios de radiología </t>
  </si>
  <si>
    <t>Exámenes de laboratorio clínico de consulta ambulatoria (Consulta Externa y Emergencia)</t>
  </si>
  <si>
    <t>Exámenes</t>
  </si>
  <si>
    <t>Exámenes de laboratorio clínico servicios de hospitalización</t>
  </si>
  <si>
    <t>Total de exámenes de laboratorio clínico</t>
  </si>
  <si>
    <t>Total de estudios de anatomía patológica</t>
  </si>
  <si>
    <t xml:space="preserve"> Total de unidades de sangre  utilizadas</t>
  </si>
  <si>
    <t>Unidades</t>
  </si>
  <si>
    <t>Recetas despachadas en consulta ambulatoria (Consulta Externa y Emergencia)</t>
  </si>
  <si>
    <t>Recetas</t>
  </si>
  <si>
    <t>Recetas despachadas en hospitalización</t>
  </si>
  <si>
    <t xml:space="preserve">Total de recetas despachadas </t>
  </si>
  <si>
    <t>SERVICIOS GENERALES</t>
  </si>
  <si>
    <t>Raciones despachadas</t>
  </si>
  <si>
    <t>Raciones</t>
  </si>
  <si>
    <t>Ropa lavada</t>
  </si>
  <si>
    <t>Mantenimiento preventivo</t>
  </si>
  <si>
    <t>Ordenes</t>
  </si>
  <si>
    <t>Distancia recorrida</t>
  </si>
  <si>
    <t>kilómetros</t>
  </si>
  <si>
    <t>GESTIÓN DE LOS SERVICIOS</t>
  </si>
  <si>
    <t>Porcentaje</t>
  </si>
  <si>
    <t>Abastecimiento de Medicamentos</t>
  </si>
  <si>
    <t>Ejecución del Presupuesto de funcionamiento</t>
  </si>
  <si>
    <t>No. Cirugías Menores</t>
  </si>
  <si>
    <t>Plan anual operativo</t>
  </si>
  <si>
    <t xml:space="preserve">Información  General </t>
  </si>
  <si>
    <t>Año 2011</t>
  </si>
  <si>
    <t>1.1 Nombre de la Dependencia que programa</t>
  </si>
  <si>
    <t>1.2 Instancia de la que depende</t>
  </si>
  <si>
    <t>1.3 Dirección</t>
  </si>
  <si>
    <t>1.4 Teléfono y/o Fax</t>
  </si>
  <si>
    <t>1.6 Nombre del Director(a) o Coordinador(a)</t>
  </si>
  <si>
    <t>1.7 Fecha de Elaboración de los datos</t>
  </si>
  <si>
    <t>dd/mm/aaaa</t>
  </si>
  <si>
    <t>Nombre</t>
  </si>
  <si>
    <t>Número</t>
  </si>
  <si>
    <t>DEPENDENCIA</t>
  </si>
  <si>
    <t>MISIÓN</t>
  </si>
  <si>
    <t>VISIÓN</t>
  </si>
  <si>
    <t>OBJETIVO GENERAL</t>
  </si>
  <si>
    <t>OBJETIVOS ESPECIFICOS</t>
  </si>
  <si>
    <t xml:space="preserve">Fuente: Manual de organización y Funcionamiento </t>
  </si>
  <si>
    <r>
      <t xml:space="preserve">JUSTIFICACIÓN </t>
    </r>
    <r>
      <rPr>
        <b/>
        <i/>
        <sz val="8"/>
        <rFont val="Arial"/>
        <family val="2"/>
      </rPr>
      <t>(Incluya un resumen del diagnóstico situacional actual del establecimiento de salud y su área geo-poblacional en término de indicadores de salud, etc. Debe incluir información relevante del entorno externo y del entorno interno.)</t>
    </r>
  </si>
  <si>
    <t>Fuente: Diagnóstico de Situación de Salud</t>
  </si>
  <si>
    <t>DATOS DE POBLACIÓN Y SUJETOS DE INTERVENCIÓN EN GENERAL</t>
  </si>
  <si>
    <t>AREA URBANA</t>
  </si>
  <si>
    <t>AREA RURAL</t>
  </si>
  <si>
    <t>TOTAL GENERAL</t>
  </si>
  <si>
    <r>
      <t xml:space="preserve">TOTAL DE VIVIENDAS </t>
    </r>
    <r>
      <rPr>
        <sz val="9"/>
        <rFont val="Calibri"/>
        <family val="2"/>
      </rPr>
      <t>(SEGÚN CENSO INSTITUCIONAL -FICHA FAMILIAR ECOSF- O PROYECCIÓN CENSO DIGESTYC)</t>
    </r>
  </si>
  <si>
    <t>MUJERES</t>
  </si>
  <si>
    <t>HOMBRES</t>
  </si>
  <si>
    <t>TOTAL</t>
  </si>
  <si>
    <t>PARTOS ESPERADOS</t>
  </si>
  <si>
    <r>
      <rPr>
        <b/>
        <sz val="11"/>
        <color indexed="8"/>
        <rFont val="Calibri"/>
        <family val="2"/>
      </rPr>
      <t>POBLACIÓN TOTAL</t>
    </r>
    <r>
      <rPr>
        <sz val="11"/>
        <color theme="1"/>
        <rFont val="Calibri"/>
        <family val="2"/>
        <scheme val="minor"/>
      </rPr>
      <t xml:space="preserve"> </t>
    </r>
    <r>
      <rPr>
        <sz val="9"/>
        <color indexed="8"/>
        <rFont val="Calibri"/>
        <family val="2"/>
      </rPr>
      <t>(SEGÚN CENSO INSTITUCIONAL -FICHA FAMILIAR ECOSF- O PROYECCIÓN CENSO DIGESTYC)</t>
    </r>
  </si>
  <si>
    <t>NÚMERO DE NIÑOS DE 5 A 9 AÑOS</t>
  </si>
  <si>
    <t>NÚMERO DE ADOLESCENTES (PERSONAS DE 10 A 14 AÑOS)</t>
  </si>
  <si>
    <t>NÚMERO DE ADOLESCENTES (PERSONAS DE 15 A 19 AÑOS)</t>
  </si>
  <si>
    <t>NÚMERO DE ADULTOS (PERSONAS DE 20 A 24 AÑOS)</t>
  </si>
  <si>
    <t>NÚMERO DE ADULTOS (PERSONAS DE 25 A 29 AÑOS)</t>
  </si>
  <si>
    <t>NÚMERO DE ADULTOS (PERSONAS DE 30 A 34 AÑOS)</t>
  </si>
  <si>
    <t>NÚMERO DE ADULTOS (PERSONAS DE 35 A 39 AÑOS)</t>
  </si>
  <si>
    <t>NÚMERO DE ADULTOS (PERSONAS DE 40 A 44 AÑOS)</t>
  </si>
  <si>
    <t>NÚMERO DE ADULTOS (PERSONAS DE 45 A 49 AÑOS)</t>
  </si>
  <si>
    <t>NÚMERO DE ADULTOS (PERSONAS DE 50 A 54 AÑOS)</t>
  </si>
  <si>
    <t>NÚMERO DE ADULTOS (PERSONAS DE 55 A 59 AÑOS)</t>
  </si>
  <si>
    <t>NÚMERO DE ADULTOS MAYORES (PERSONAS DE 60 A 64 AÑOS)</t>
  </si>
  <si>
    <t>NÚMERO DE ADULTOS MAYORES (PERSONAS DE 65 A 69 AÑOS)</t>
  </si>
  <si>
    <t>NÚMERO DE ADULTOS MAYORES (PERSONAS DE 70 A 74 AÑOS)</t>
  </si>
  <si>
    <t>NÚMERO DE ADULTOS MAYORES (PERSONAS DE 75 A 79 AÑOS)</t>
  </si>
  <si>
    <t>NÚMERO DE ADULTOS MAYORES (PERSONAS DE 80 Y MAS AÑOS)</t>
  </si>
  <si>
    <t>MUJERES EN EDAD FÉRTIL</t>
  </si>
  <si>
    <t>EMBARAZADAS ESPERADAS</t>
  </si>
  <si>
    <t>PUÉRPERAS ESPERADAS</t>
  </si>
  <si>
    <t>RECIÉN NACIDOS ESPERADOS</t>
  </si>
  <si>
    <t>EVALUACIÓN TRIMESTRAL Y ANUAL DE METAS</t>
  </si>
  <si>
    <t>No.</t>
  </si>
  <si>
    <t>FORMULA</t>
  </si>
  <si>
    <t>Ejemplo de ampliación de alcance del indicador general a los diferentes servicios de cada hospital</t>
  </si>
  <si>
    <t>PLAN DE ANALISIS</t>
  </si>
  <si>
    <t>Porcentaje de ocupación de camas hospitalarias</t>
  </si>
  <si>
    <t>Días camas ocupados / Días camas disponibles X 100</t>
  </si>
  <si>
    <t>Porcentaje de ocupación de camas en el(los) Servicio(s) de Medicina Interna, etc.</t>
  </si>
  <si>
    <t>El porcentaje de ocupación hospitalaria es la relación entre los días camas ocupados o pacientes días de un período dadoy los días camas disponibles de dicho período y representa una forma de medir la eficiencia en la utilización de los recursos hospitalarios, dado que informa sobre la capacidad utilizada o subutilizada en los hospitales. En alguna bibliografía se menciona que el porcentaje de ocupación máximo para unidades de 30 a 180 camas censables, total y por servicio, fluctúa de 85 a 90%, así un porcentaje menor al 85% refleja capacidad instalada ociosa; por otra parte en los hospitales es recomendable un 15% de capacidad de reserva.</t>
  </si>
  <si>
    <t>Promedio de días estancia</t>
  </si>
  <si>
    <t xml:space="preserve">Días de estadía de los pacientes egresados en el periodo / Egresos en el mismo periodo
</t>
  </si>
  <si>
    <t>Promedio de días entancia en el(los) Servicio(s) de Medicina Interna, etc.</t>
  </si>
  <si>
    <t>Es el número de días promedio de atención hospitalaria que recibió cada paciente egresado en un período de tiempo. Puede indicar aplicación
inadecuada de la capacidad resolutiva cuando los días de estancia son demasiado cortos o demasiado
largos, lo que hace especialmente útil a este indicador cuando se analiza por afección principal.</t>
  </si>
  <si>
    <t>Intervalo de tiempo de sustitución</t>
  </si>
  <si>
    <t>Días cama disponibles - Días cama ocupados / total de egresos del período</t>
  </si>
  <si>
    <t>Intervalo de tiempo de sustitución en el(los) Servicio(s) de Medicina Interna, etc.</t>
  </si>
  <si>
    <t>Es el tiempo promedio que una cama permanece desocupada entre el egreso de un paciente y el ingreso de otro.</t>
  </si>
  <si>
    <t>Giro cama o índice de rotación</t>
  </si>
  <si>
    <t>Egresos de un período de tiempo dado / Dotación total de Camas</t>
  </si>
  <si>
    <t>Giro cama o índice de rotación en el(los) Servicio(s) de Medicina Interna, etc.</t>
  </si>
  <si>
    <t>Se interpreta como el número de personas que pasan por una cama durante un tiempo determinado. Se determina a partir del número de egresos hospitalarios generados con base al número de camas censables existente en un periodo determinado. Esta relación permite, por un lado, valorar la capacidad potencial de la unidad a partir de sus recursos (egresos por cama censable), y por el otro, es un acercamiento a la utilización adecuada de los recursos; por ejemplo, un índice de rotación bajo implica que los egresos son menores a lo potencialmente posible (subutilización).</t>
  </si>
  <si>
    <t>Porcentaje de rendimiento (tiempo de utilización) de quirófanos (para cirugía electiva)</t>
  </si>
  <si>
    <t>Representa el porcentaje de horas de utilización del quirófano en relación a las horas totales que está disponible, por lo que se persigue que este sea lo mayor posible.</t>
  </si>
  <si>
    <t>(Número) Promedio diario de intervenciones quirúrgicas por quirófano (para cirugía electiva)</t>
  </si>
  <si>
    <t>Este indicador de proceso permite medir la productividad de los quirófanos instalados y, de manera indirecta, refleja la disponibilidad de servicios quirúrgicos para la atención a la salud.</t>
  </si>
  <si>
    <t>El promedio diario de consultas por consultorio de consulta externa permite medir la utilización y productividad de los
servicios, aproximándose de manera indirecta a una idea de calidad de la atención. Generalmente se considera que un consultorio debe producir entre tres y cuatro consultas por hora, por lo que en ocho horas de labores se pueden otorgar entre 24 y 32 consultas.</t>
  </si>
  <si>
    <t>(Número) promedio diario de consultas (ambulatorias) por consultorio de emergencias</t>
  </si>
  <si>
    <t>Consultas de emergencias en el año / Total de Consultorios de emergencias / 365</t>
  </si>
  <si>
    <t>El promedio diario de consultas por consultorio de emergencias permite medir la utilización y productividad de los
servicios, aproximándose de manera indirecta a una idea de calidad de la atención. Generalmente se considera que un consultorio de emergencias debe producir dos consultas por hora, por lo que en ocho horas de labores se pueden otorgar un máximo de 16 consultas.</t>
  </si>
  <si>
    <t>Tiempo promedio (días) de espera para consulta médica especializada</t>
  </si>
  <si>
    <t>Es la medición del del tiempo promedio expresado en días que los pacientes tienen que esperar para recibir la consulta médica especializada y está relacionado con la calidad de atención y principalmente con la prevención de complicaciones.</t>
  </si>
  <si>
    <t>Tiempo promedio (días) de espera para cirugía electiva</t>
  </si>
  <si>
    <t>Es la medición del tiempo promedio expresado en días que los pacientes tienen que esperar para ser operados por una afección no urgente y está relacionado con la calidad de atención y principalmente con la prevención de complicaciones.</t>
  </si>
  <si>
    <t>Porcentaje de cirugías electivas suspendidas</t>
  </si>
  <si>
    <t>Es una medición de la capacidad de gestión del servicio de quirofanos, del uso de este recurso, de los mecanismos de programación y de el uso de los recursos humanos.</t>
  </si>
  <si>
    <t>Porcentaje de  referencias recibidas de los establecimientos de la Red Integrada e Integral de Servicios de Salud de su área geopoblacional</t>
  </si>
  <si>
    <t>No. de referencias recibidas desde los establecimiento de salud de la RIISS local / Total de referencias recibidas de los establecimientos de la RIISS local y de los de otra RIISS X 100</t>
  </si>
  <si>
    <t>Porcentaje de  referencias recibidas de establecimientos pertenecientes a otra Red Integrada e Integral de Servicios de Salud</t>
  </si>
  <si>
    <t>No. de referencias recibidas de  establecimientos de salud "ajenos" a la RIISS local / Total de referencias recibidas de los establecimientos de la RIISS local y de los de otra RIISS X 100</t>
  </si>
  <si>
    <t>Porcentaje de  referencias recibidas cuyo caso terminó en muerte</t>
  </si>
  <si>
    <t>No. de referencias recibidas cuyo caso terminó en muerte / Total de referencias recibidas de establecimientos de salud de la RIISS local y de los de otra RSISS X 100</t>
  </si>
  <si>
    <t>Porcentaje de  retornos o contrarreferencias despachados(as)</t>
  </si>
  <si>
    <t>No. de retornos o contrarreferencias realizadas / Total de referencias recibidas de los establecimientos de la RIISS local y de los de otra RIISS X 100</t>
  </si>
  <si>
    <t>Porcentaje de  referencias recibidas en el  Servicio de Emergencias</t>
  </si>
  <si>
    <t>No. de referencias recibidas para atención en Servicio de Emergencias / Total de referencias recibidas de los establecimientos de la RIISS local y de los de otra RIISS X 100</t>
  </si>
  <si>
    <t>Porcentaje de  referencias recibidas en Servicios de Consulta Externa</t>
  </si>
  <si>
    <t>No. de referencias recibidas para atención en Servicio de Consulta Externa del hospital de referencia / Total de referencias recibidas de los establecimientos de la RIISS local y de los de otra RIISS X 100</t>
  </si>
  <si>
    <t>Porcentaje de  referencias recibidas para toma de pruebas de Lab. Clín., RX, USG y otros</t>
  </si>
  <si>
    <t>No. de referencias recibidas para toma de pruebas de Laboratorio Cllínico, RX, USG / Total de referencias recibidas de los establecimientos de la RIISS local y de los de otra RIISS X 100</t>
  </si>
  <si>
    <t>Porcentaje de  referencias recibidas para atención de lesiones de causa externa</t>
  </si>
  <si>
    <t>No. de referencias enviadas desde el establecimiento de salud al hospital de referencia debido a lesiones de causa externa / Total de referencias recibidas de los establecimientos de la RIISS local y de los de otra RIISS X 100</t>
  </si>
  <si>
    <t>Porcentaje de  referencias recibidas para atención de morbilidad aguda</t>
  </si>
  <si>
    <t>No. de referencias enviadas desde el establecimiento de salud al hospital de referencia debido a morbilidad aguda / Total de referencias recibidas de los establecimientos de la RIISS local y de los de otra RIISS X 100</t>
  </si>
  <si>
    <t>Porcentaje de  referencias recibidas para atención de morbilidad crónica</t>
  </si>
  <si>
    <t>No. de referencias enviadas desde el establecimiento de salud al hospital de referencia debido a morbilidad crónica / Total de referencias recibidas de los establecimientos de la RIISS local y de los de otra RIISS X 100</t>
  </si>
  <si>
    <t>Porcentaje de  referencias recibidas para atención de embarazo, parto y puerperio</t>
  </si>
  <si>
    <t>No. de referencias enviadas desde el establecimiento de salud al hospital de referencia debido a embarazo, parto y puerperio / Total de referencias recibidas de los establecimientos de la RIISS local y de los de otra RIISS X 100</t>
  </si>
  <si>
    <t>Porcentaje de  referencias recibidas para atención de otras causas</t>
  </si>
  <si>
    <t>No. de referencias recibidas para atención de otras causas / Total de referencias recibidas de los establecimientos de la RIISS local y de los de otra RIISS X 100</t>
  </si>
  <si>
    <t>No. días Estancias</t>
  </si>
  <si>
    <t>% Procedimientos</t>
  </si>
  <si>
    <t>No. Procedimientos</t>
  </si>
  <si>
    <t>Totales </t>
  </si>
  <si>
    <t>Programación Anual Operativo</t>
  </si>
  <si>
    <t>Medio de Verificación</t>
  </si>
  <si>
    <t>Responsables</t>
  </si>
  <si>
    <t>Meta anual</t>
  </si>
  <si>
    <t>1er. Trimestre</t>
  </si>
  <si>
    <t>2do. Trimestre</t>
  </si>
  <si>
    <t>3er. Trimestre</t>
  </si>
  <si>
    <t>4to.. Trimestre</t>
  </si>
  <si>
    <t>Supuestos/Factores Condicionantes para el éxito en el cumplimiento de los resultados esperados o metas</t>
  </si>
  <si>
    <t>1.1.1</t>
  </si>
  <si>
    <t>1.1.2</t>
  </si>
  <si>
    <t>1.1.3</t>
  </si>
  <si>
    <t>1.1.4</t>
  </si>
  <si>
    <t>Resultado esperado:</t>
  </si>
  <si>
    <t>1.2.1</t>
  </si>
  <si>
    <t>1.2.2</t>
  </si>
  <si>
    <t>1.2.3</t>
  </si>
  <si>
    <t>1.2.4</t>
  </si>
  <si>
    <t xml:space="preserve">OBJETIVO: </t>
  </si>
  <si>
    <t>2.1.1</t>
  </si>
  <si>
    <t>2.1.2</t>
  </si>
  <si>
    <t>2.1.3</t>
  </si>
  <si>
    <t>2.1.4</t>
  </si>
  <si>
    <t>2.2.1</t>
  </si>
  <si>
    <t>2.2.2</t>
  </si>
  <si>
    <t>2.2.3</t>
  </si>
  <si>
    <t>2.2.4</t>
  </si>
  <si>
    <t>2.2.5</t>
  </si>
  <si>
    <t>2.3.1</t>
  </si>
  <si>
    <t>2.3.2</t>
  </si>
  <si>
    <t>2.3.3</t>
  </si>
  <si>
    <t>2.3.4</t>
  </si>
  <si>
    <t>2.3.5</t>
  </si>
  <si>
    <t>2.4.1</t>
  </si>
  <si>
    <t>2.4.2</t>
  </si>
  <si>
    <t>2.4.3</t>
  </si>
  <si>
    <t>2.4.4</t>
  </si>
  <si>
    <t>3.1.1</t>
  </si>
  <si>
    <t>3.1.2</t>
  </si>
  <si>
    <t>3.1.3</t>
  </si>
  <si>
    <t>3.1.4</t>
  </si>
  <si>
    <t>3.2</t>
  </si>
  <si>
    <t>3.2.1</t>
  </si>
  <si>
    <t>3.2.2</t>
  </si>
  <si>
    <t>3.2.3</t>
  </si>
  <si>
    <t>3.2.4</t>
  </si>
  <si>
    <t>3.2.5</t>
  </si>
  <si>
    <t>DATOS GENERALES DEL AREA GEO - POBLACIONAL DE INFLUENCIA</t>
  </si>
  <si>
    <t>No. Muertes Hospitalarias</t>
  </si>
  <si>
    <t>3.1 Diez Primeras Causas de Consulta 2010, Lista Internacional de Morbilidad</t>
  </si>
  <si>
    <t>3.2 Diez Primeras Causas Egresos Hospitalarios 2010, Grupo CIE 10. Ordenado según Egresos</t>
  </si>
  <si>
    <t>A-2010</t>
  </si>
  <si>
    <t>Variación 2010 / 2009</t>
  </si>
  <si>
    <t>7. Producción de Servicios Generales por Servicio Final 2010</t>
  </si>
  <si>
    <t>Camas Censables</t>
  </si>
  <si>
    <t>Total camas censables</t>
  </si>
  <si>
    <t>Variación Camas 2010 Vs. 2009</t>
  </si>
  <si>
    <t>Camas No Censables</t>
  </si>
  <si>
    <t>Médicos Especialistas</t>
  </si>
  <si>
    <t>Otros RRHH</t>
  </si>
  <si>
    <t>Mantenimiento correctivo</t>
  </si>
  <si>
    <t>Nivel de abastecimiento de medicamentos (trimestral en consolidado)</t>
  </si>
  <si>
    <t>Número de horas quirúrgicas utilizadas en el año / Número de horas quirófano disponibles en el hospital X 100</t>
  </si>
  <si>
    <t>Número de intervenciones quirúrgicas suspendidas / número de intervenciones quirúrgicas programadas X 100</t>
  </si>
  <si>
    <t>1.5 E mail de contacto</t>
  </si>
  <si>
    <t>1.8 Departamentos, Unidades, Secciones, o bien, Centros de Responsabilidad (si ya se ha organizado según esta última modalidad) que componen la dependencia y número de empleados.</t>
  </si>
  <si>
    <t>FUNCIONES PRINCIPALES</t>
  </si>
  <si>
    <t>Total Cirugías Mayores</t>
  </si>
  <si>
    <t>Cirugías mayores ambulatorias</t>
  </si>
  <si>
    <t>Estancias</t>
  </si>
  <si>
    <t>No. Camas</t>
  </si>
  <si>
    <t>Días cama disponible</t>
  </si>
  <si>
    <t>Porcentaje Ocupacional</t>
  </si>
  <si>
    <t>Consulta Ambulatoria</t>
  </si>
  <si>
    <t>Cirugías mayores con hospitalización</t>
  </si>
  <si>
    <t>Egresos por Servicio</t>
  </si>
  <si>
    <t>Total consultas</t>
  </si>
  <si>
    <t>Procedimientos de Cirugía Menor</t>
  </si>
  <si>
    <t>Servicio / procedimiento</t>
  </si>
  <si>
    <t>No. total de horas diarias programadas para Cirugía Electiva</t>
  </si>
  <si>
    <t>No. total de horas diarias disponibles para cirugía de emergencia</t>
  </si>
  <si>
    <t>No. total horas diarias utilización real de consultorios funcionando</t>
  </si>
  <si>
    <t>Total camas No Censables</t>
  </si>
  <si>
    <t>Plazas según nombramiento</t>
  </si>
  <si>
    <t>Insumos Médico Quirúrgicos</t>
  </si>
  <si>
    <t>Combustible y Lubricantes</t>
  </si>
  <si>
    <t>Tiempo promedio de espera para cirugía electiva</t>
  </si>
  <si>
    <t>Tiempo promedio de espera para consulta de medicina especializada</t>
  </si>
  <si>
    <t>Porcentaje de Cesáreas</t>
  </si>
  <si>
    <t>Porcentaje infecciones nosocomiales</t>
  </si>
  <si>
    <t>Número total de pacientes recibidos para atención de Consulta Médica Especializada</t>
  </si>
  <si>
    <t>Número total de pacientes recibidos para la atención del Parto</t>
  </si>
  <si>
    <t>Número total de pacientes recibidos para Hospitalización No Quirúrgica</t>
  </si>
  <si>
    <t>Número total de pacientes recibidos para la realización de procedimientos quirúrgicos</t>
  </si>
  <si>
    <t>Número total de pacientes recibidos de otras Instituciones</t>
  </si>
  <si>
    <t>Número total de pacientes referidos para atención de Consulta Médica Especializada</t>
  </si>
  <si>
    <t>Número total de pacientes referidos para la atención del Parto a niveles superiores</t>
  </si>
  <si>
    <t>Número total de pacientes referidos para Hospitalización No Quirúrgica</t>
  </si>
  <si>
    <t>Número total de pacientes referidos para la realización de procedimientos quirúrgicos</t>
  </si>
  <si>
    <t>Número total de pacientes referidos a otras Instituciones</t>
  </si>
  <si>
    <t>Nivel de Abastecimiento de Medicamentos (%)</t>
  </si>
  <si>
    <t>Parto vaginal</t>
  </si>
  <si>
    <t>13.2.1 Rendimiento Médico</t>
  </si>
  <si>
    <t>Meses Año (Análisis Rendimiento)</t>
  </si>
  <si>
    <t>Vacaciones (Sin incluir Sábados ni Domingos)</t>
  </si>
  <si>
    <t>Horas Requeridas Médico</t>
  </si>
  <si>
    <t>Indice Horas Disponibles Vs Horas Requeridas</t>
  </si>
  <si>
    <t>Nivel de Abastecimiento de Medicamentos</t>
  </si>
  <si>
    <t>Total de Partos (Partos vaginales + cesáreas)</t>
  </si>
  <si>
    <t>% Consulta Emergencia</t>
  </si>
  <si>
    <t>Hospitalización (Egresos)</t>
  </si>
  <si>
    <t>Dólares</t>
  </si>
  <si>
    <t>Porcentaje de infecciones nosocomiales</t>
  </si>
  <si>
    <t>Número de intervenciones quirúrgicas electivas / Número de quirófanos para cirugía electiva /  día</t>
  </si>
  <si>
    <t>Número de consultas  / Total de Consultorios del Servicio de Consulta Externa / día</t>
  </si>
  <si>
    <t>Número de días desde la fecha de inclusión a la lista de espera hasta la fecha probable de consulta médica / Total de pacientes de la lista de espera pendientes a la fecha del corte.</t>
  </si>
  <si>
    <t>Número de días desde la fecha de inclusión a la lista de espera hasta la fecha probable de la cirugía / Total de pacientes de la lista de espera pendientes a la fecha del corte.</t>
  </si>
  <si>
    <t>Porcentaje de mortalidad hospitalaria</t>
  </si>
  <si>
    <t>Número de muertes ocurridas luego de 48 horas de ingreso / Número total de egresos en un período determinado</t>
  </si>
  <si>
    <t>Número pacientes con infección nosocomial / Total de egresos</t>
  </si>
  <si>
    <t>No. Estancias</t>
  </si>
  <si>
    <t>Código CIE 10</t>
  </si>
  <si>
    <t>Nombre CIE 9</t>
  </si>
  <si>
    <t>Resto de Procedimientos</t>
  </si>
  <si>
    <t>Total Procedimientos Quirúrgicos</t>
  </si>
  <si>
    <t>Cirugías Mayores Reportadas SEPS</t>
  </si>
  <si>
    <t>Consultas Médicas en Emergencia</t>
  </si>
  <si>
    <t>4. Comportamiento de la Producción de Servicios, 2001 a 2010</t>
  </si>
  <si>
    <t>2. Tipos de Pacientes Atendidos según Capítulos CIE 10, 2010</t>
  </si>
  <si>
    <t>3.3 Diez Primeras Causas Egresos Hospitalarios 2010, Grupo CIE 10. Ordenado según estancias</t>
  </si>
  <si>
    <t>3.4 Diez Primeras Causas de Procedimientos Quirúrgicos 2010</t>
  </si>
  <si>
    <t>Fuente 1. Sistema de Morbimortalidad: atención ambulatoria, egresos por servicio,UCI.</t>
  </si>
  <si>
    <t xml:space="preserve">Fuente 2. Sistema Estadístico de Producción de Servicios, SEPS: Partos, cesáreas, cirugías mayores, hemodiálisis, diálisis peritoneal. </t>
  </si>
  <si>
    <t>8.1 Dotación de camas promedio mensuales</t>
  </si>
  <si>
    <t>Personal que labora en otras áreas asistenciales</t>
  </si>
  <si>
    <t>Total Medicina</t>
  </si>
  <si>
    <t>Meses</t>
  </si>
  <si>
    <t>Días Paciente (equivalente a días camas ocupados)</t>
  </si>
  <si>
    <t>Días camas disponibles 2009</t>
  </si>
  <si>
    <t>Días camas disponibles 2010</t>
  </si>
  <si>
    <t>10. Distribución Recurso Humano disponible al 31 de diciembre de 2010, por Servicio, en un mes de 22 días laborales.</t>
  </si>
  <si>
    <t>Partos abdominales (cesáreas)</t>
  </si>
  <si>
    <t>Presupuesto Modificado 2011</t>
  </si>
  <si>
    <t>Presupuesto Ejecutado 2011</t>
  </si>
  <si>
    <t>Adquisición de equipo médico</t>
  </si>
  <si>
    <t>Adquisición de equipo no médico</t>
  </si>
  <si>
    <t>Mantenimiento en general</t>
  </si>
  <si>
    <t>Giro Cama (Productividad de la cama)</t>
  </si>
  <si>
    <t>Días Paciente - No. Ingresos (resultado equivale a Controles)</t>
  </si>
  <si>
    <t>Horas Requeridas Md. Especialista</t>
  </si>
  <si>
    <t>total de consultas</t>
  </si>
  <si>
    <t>Consultorios Médicos especialidades</t>
  </si>
  <si>
    <t>Actividades Programadas 2011 Vs Realizadas 2010</t>
  </si>
  <si>
    <t>Indice de Horas Disponibles 2010 Vs Horas Requeridas 2010</t>
  </si>
  <si>
    <t>Firma y sello
Director(a) Hospital</t>
  </si>
  <si>
    <t>Firma y sello
Director Nacional de Hospitales</t>
  </si>
  <si>
    <t>MINISTERIO DE SALUD</t>
  </si>
  <si>
    <t>NOMBRE DIRECTOR(A) DE HOSPITAL:</t>
  </si>
  <si>
    <t>% Variación 2010 vs. 2009</t>
  </si>
  <si>
    <t xml:space="preserve">Fuente de información: Sistema de morbimortalidad 2010, MSPAS. </t>
  </si>
  <si>
    <t>Promedio de horas de utilización de consultorios 2009</t>
  </si>
  <si>
    <t>Promedio de horas de utilización de consultorios 2010</t>
  </si>
  <si>
    <t>Horas día hospital</t>
  </si>
  <si>
    <t>Otros Servicios</t>
  </si>
  <si>
    <t>Producción potencial 2011</t>
  </si>
  <si>
    <t>PLAN ANUAL OPERATIVO HOSPITALES 2011</t>
  </si>
  <si>
    <t>Formulario F: Programación de resultados y actividades de proyectos especiales</t>
  </si>
  <si>
    <t>Ud. De medida</t>
  </si>
  <si>
    <t>Formulario A: Información General de la Dependencia</t>
  </si>
  <si>
    <t>Formulario B: Características de organización y funcionamiento de la dependencia</t>
  </si>
  <si>
    <t>Formulario C: Justificación del Plan Operativo 2011</t>
  </si>
  <si>
    <t>NOMBRE DEL HOSPITAL:</t>
  </si>
  <si>
    <t>NÚMERO DE NIÑOS DE 0 A 4 AÑOS</t>
  </si>
  <si>
    <t>Formulario D: Datos de Población</t>
  </si>
  <si>
    <t>Producción Scio Final 2009</t>
  </si>
  <si>
    <t>Otros procedimientos</t>
  </si>
  <si>
    <t>Diálisis peritoneal</t>
  </si>
  <si>
    <t>Hemodiálisis</t>
  </si>
  <si>
    <r>
      <t xml:space="preserve">(Número) promedio diario de consultas (ambulatorias) por consultorio (de consulta externa) </t>
    </r>
    <r>
      <rPr>
        <vertAlign val="superscript"/>
        <sz val="11"/>
        <color indexed="8"/>
        <rFont val="Calibri"/>
        <family val="2"/>
      </rPr>
      <t>2</t>
    </r>
  </si>
  <si>
    <r>
      <t xml:space="preserve">INDICADOR </t>
    </r>
    <r>
      <rPr>
        <b/>
        <vertAlign val="superscript"/>
        <sz val="10"/>
        <rFont val="Calibri"/>
        <family val="2"/>
      </rPr>
      <t>1</t>
    </r>
  </si>
  <si>
    <t>FORMULARIO G: EVALUACIÓN</t>
  </si>
  <si>
    <t>Consulta Médicas</t>
  </si>
  <si>
    <t>Porcentaje Consulta Emergencias</t>
  </si>
  <si>
    <t>Consultas Odontologia</t>
  </si>
  <si>
    <t>Cirugías Menores</t>
  </si>
  <si>
    <t>Tipo de Producción</t>
  </si>
  <si>
    <t>A-2001</t>
  </si>
  <si>
    <t>A-2002</t>
  </si>
  <si>
    <t>A-2003</t>
  </si>
  <si>
    <t>A-2004</t>
  </si>
  <si>
    <t>A-2005</t>
  </si>
  <si>
    <t>A-2006</t>
  </si>
  <si>
    <t>A-2007</t>
  </si>
  <si>
    <t>A-2008</t>
  </si>
  <si>
    <t>Variación 2002 / 2001</t>
  </si>
  <si>
    <t>Variación 2003 / 2002</t>
  </si>
  <si>
    <t>Variación 2004 / 2003</t>
  </si>
  <si>
    <t>Variación 2005 / 2004</t>
  </si>
  <si>
    <t>Variación 2006 / 2005</t>
  </si>
  <si>
    <t>Variación 2007 / 2006</t>
  </si>
  <si>
    <t>Variación 2008 / 2007</t>
  </si>
  <si>
    <t>Promedio Variación</t>
  </si>
  <si>
    <t>Correlativo</t>
  </si>
  <si>
    <t>Diagnóstico CIE 10</t>
  </si>
  <si>
    <t>No. Consultas</t>
  </si>
  <si>
    <t>1</t>
  </si>
  <si>
    <t>2</t>
  </si>
  <si>
    <t>3</t>
  </si>
  <si>
    <t>4</t>
  </si>
  <si>
    <t>5</t>
  </si>
  <si>
    <t>6</t>
  </si>
  <si>
    <t>7</t>
  </si>
  <si>
    <t>8</t>
  </si>
  <si>
    <t>9</t>
  </si>
  <si>
    <t>10</t>
  </si>
  <si>
    <t>Demás causas </t>
  </si>
  <si>
    <t>Total Causas</t>
  </si>
  <si>
    <t>% Consultas</t>
  </si>
  <si>
    <t>% Consultas Acumulado</t>
  </si>
  <si>
    <t>Resto de Causas</t>
  </si>
  <si>
    <t xml:space="preserve">Código CIE 9  </t>
  </si>
  <si>
    <t>Subregistro estimado (Procedimientos)</t>
  </si>
  <si>
    <t>Porcentaje estimado subregistro</t>
  </si>
  <si>
    <t>Promedio Estancia</t>
  </si>
  <si>
    <t>% Egresos</t>
  </si>
  <si>
    <t>% Egresos Acumulado</t>
  </si>
  <si>
    <t>% Estancias</t>
  </si>
  <si>
    <t>% Estancias Acumulado</t>
  </si>
  <si>
    <t>% Procedimientos Acumulado</t>
  </si>
  <si>
    <t>Capítulo CIE10</t>
  </si>
  <si>
    <t>Nombre Capítulo CIE 10</t>
  </si>
  <si>
    <t>No. de Consultas</t>
  </si>
  <si>
    <t>Capítulo I</t>
  </si>
  <si>
    <t xml:space="preserve">Ciertas enfermedades infecciosas y parasitarias (A00-B99) </t>
  </si>
  <si>
    <t>Capítulo II</t>
  </si>
  <si>
    <t>Tumores [neoplasias] (C00-D48)</t>
  </si>
  <si>
    <t>Capítulo III</t>
  </si>
  <si>
    <t>Enfermedades de la sangre y de los órganos hematopoyéticos, y ciertos trastornos que afectan el mecanismo de la inmunidad (D50-D89)</t>
  </si>
  <si>
    <t>Capítulo IV</t>
  </si>
  <si>
    <t>Enfermedades endocrinas, nutricionales y metabólicas (E00-E90)</t>
  </si>
  <si>
    <t>Capítulo V</t>
  </si>
  <si>
    <t xml:space="preserve">Hipertensión esencial (primaria) </t>
  </si>
  <si>
    <t xml:space="preserve">Personas en contacto con los servicios de salud para investigación y exámenes </t>
  </si>
  <si>
    <t xml:space="preserve">Diabetes Mellitus </t>
  </si>
  <si>
    <t xml:space="preserve">Otras infecciones agudas de las vías respiratorias superiores </t>
  </si>
  <si>
    <t xml:space="preserve">Otros síntomas, signos y hallazgos anormales clínicos y de laboratorio, no clasificados en otra parte </t>
  </si>
  <si>
    <t xml:space="preserve">Fiebre de origen desconocido </t>
  </si>
  <si>
    <t xml:space="preserve">Otros traumatismos de regiones especificadas, de regiones no especificadas y de múltiples regiones del cuerpo </t>
  </si>
  <si>
    <t xml:space="preserve">Otras enfermedades del sistema urinario </t>
  </si>
  <si>
    <t xml:space="preserve">Diarrea de Presunto origen infeccioso(A09) </t>
  </si>
  <si>
    <t xml:space="preserve">Otros trastornos endocrinos, nutricionales y metabólicas </t>
  </si>
  <si>
    <t xml:space="preserve">Parto único espontáneo </t>
  </si>
  <si>
    <t xml:space="preserve">Otras complicaciones del embarazo y del parto </t>
  </si>
  <si>
    <t xml:space="preserve">Neumonía </t>
  </si>
  <si>
    <t xml:space="preserve">Colelitiasis y colecistitis </t>
  </si>
  <si>
    <t xml:space="preserve">Otra atención materna relacionada con el feto y con la cavidad anmiótica, y con posibles problemas del parto </t>
  </si>
  <si>
    <t xml:space="preserve">Enfermedades del apéndice </t>
  </si>
  <si>
    <t xml:space="preserve">episiotomia </t>
  </si>
  <si>
    <t xml:space="preserve">Otra cesarea de tipo no especificado  </t>
  </si>
  <si>
    <t xml:space="preserve">Apendicectomía  </t>
  </si>
  <si>
    <t>Otra destrucción u oclusion bilateral de trompas de falopio</t>
  </si>
  <si>
    <t xml:space="preserve">legrado por aspiración despues de parto o aborto </t>
  </si>
  <si>
    <t xml:space="preserve">Colecistectomía abierta </t>
  </si>
  <si>
    <t xml:space="preserve">histerectomia abdominal total </t>
  </si>
  <si>
    <t xml:space="preserve">Otra reparación de hernia </t>
  </si>
  <si>
    <t xml:space="preserve">histerectomia vaginal </t>
  </si>
  <si>
    <t xml:space="preserve">Laparotomía exploradora </t>
  </si>
  <si>
    <t>Hospital Nacional de Metapán "Arturo Morales"</t>
  </si>
  <si>
    <t>Informática</t>
  </si>
  <si>
    <t>Dirección Nacional de Hospitales</t>
  </si>
  <si>
    <t>Carretera Internacional Km. 113, Metapán, Santa Ana.</t>
  </si>
  <si>
    <t>2484 - 4405, 2484 - 4402. Fax. 2402 - 3820.</t>
  </si>
  <si>
    <t>katiasuiza@yahoo.es</t>
  </si>
  <si>
    <t>Dra. Katia Josefina Henríquez Rosales</t>
  </si>
  <si>
    <t>Administración</t>
  </si>
  <si>
    <t>RRHH</t>
  </si>
  <si>
    <t>UACI</t>
  </si>
  <si>
    <t>UFI</t>
  </si>
  <si>
    <t>Pediatria</t>
  </si>
  <si>
    <t>Gineco Obstetricia</t>
  </si>
  <si>
    <t>Sala de Operaciones</t>
  </si>
  <si>
    <t>Rayos X</t>
  </si>
  <si>
    <t>Epidemiología</t>
  </si>
  <si>
    <t>Trabajo Social</t>
  </si>
  <si>
    <t>Enfermería Admon.</t>
  </si>
  <si>
    <t>ESDOMED</t>
  </si>
  <si>
    <t>Nutrición</t>
  </si>
  <si>
    <t>Odontología</t>
  </si>
  <si>
    <t>Salud Mental</t>
  </si>
  <si>
    <t>Fisioterápia</t>
  </si>
  <si>
    <t>División Médica</t>
  </si>
  <si>
    <t xml:space="preserve">Somos una institución de salud pública de segundo nivel de atención, caracterizado por proveer servicios de salud que responden a un nuevo modelo de gestión que impulsa la eficacia, eficiencia y transparencia, y que brinda atención de calidad y con calidez a toda la población que nos lo solicita.  </t>
  </si>
  <si>
    <t>Ser una institución de salud pública que provea servicios de salud de segundo nivel que cuente con todos los elementos científicos, técnicos y administrativos necesarios para brindar una atención de calidad a toda la población que nos los solicite.</t>
  </si>
  <si>
    <t xml:space="preserve">FODA Equipo y Planta Física. F: Hospital con todas las áreas de servicios finales y de apoyo definidas y funcionando. O: Se cuenta con suficiente área de terreno para ampliaciones del hospital y reacondicionamiento de áreas. D: Fuerte inversión en mantenimiento, necesidad de compra de nuevo equipo para sustitución del mismo, las instalaciones no brindan las condiciones de funcionamiento y servicio de los nuevos estándares. A: La planta física y la maquinaria ya cumplieron su vida útil.
Medicamentos e Insumos. F: Se cuenta con médico asesor de insumos y médicos. Buena comunicación con otras instituciones de la red para transferencia y préstamo de medicamentos por agotarse. O: El SINAB es una herramienta que ayudará a controlar los consumos y las existencias de insumos y medicamentos. D: Falta de estandarización en el manejo especificaciones de insumos. Arsenal no cumple a cabalidad funciones normadas. A: El atraso en la adquisición de insumos y medicamentos sujetos a la compra conjunta.
Recursos Humanos. F: Se ha incrementado el personal de áreas médicas y de apoyo. Especialmente en áreas de ginecología y obstetricia, para la atención de población vulnerable. O: Disminuir al mínimo el riesgo de mortalidad materno infantil en la  institución. Gestión de insumos y medicamentos para disminuir el riesgo de desabastecimiento. D: La contratación de recursos humanos es bajo la figura de servicios profesionales, por lo que implica están sujetos refuerzos presupuestarios. Áreas como rayos x y laboratorio no cuentan con el personal suficiente, y son profesionales de difícil disponibilidad para nuestro hospital. A: Movilidad de los recursos por la falta de estabilidad laboral y de prestaciones.
</t>
  </si>
  <si>
    <t xml:space="preserve">RESULTADOS  PAO 2010 Según  puntos priorizados del análisis 2009 / histórico
Los puntos propuestos como problemas de gestión prioritarios fueron en el número 1 y 2, la intervención en la saturación  de la consulta externa y de emergencia; ambos ítems fueron intervenidos de manera conjunta, pues posterior al análisis de las matrices PAO, encontramos que el médico general/residente atendía la consulta con altos índices de saturación, y los médicos especialistas se encontraban en niveles de productividad bajos para lo esperado, debido a la concentración de los horarios de atención no acordes a las necesidades de la institución; se busco primero incidir en la reorganización de la consulta externa, asegurando que los especialistas cumplieran horario y número de pacientes asignados, además de extender el horario de especialistas para no focalizar la oferta de los mismos en las horas de mayor afluencia.
La extensión de horarios de especialistas incluyo contratar especialistas de turno para laborar en fines de semana, festivos y noches, para garantizar mejorar la atención al usuario y desconcentrar la consulta médica general. Esto se ve reflejado en el comportamiento de la producción de la Consulta Externa de la matriz PAO; en las proyecciones trimestrales se contemplaban unas 7250 consultas para médico general, obteniéndose solo un 72 y 83% en el primer y segundo trimestre. Al mismo tiempo, puesto que los especialistas contratados asumieron el compromiso de atender a todas las embarazadas que demanden nuestra atención, y casi la totalidad de la consulta pediátrica, la proyección original de 1250 consultas por especialista fue superada en más de un 500%.
Por otro lado, cabe mencionar que también aumentamos el número de horas internista, y horas cirujano en la consulta externa, esto nos permitió brindar un seguimiento más acertado a nuestros pacientes con enfermedades  crónico degenerativas y junto con la educación brindada al usuario sobre el uso de la consulta de emergencia y su derivación al área respectiva, logramos disminuir la afluencia de consulta de emergencia, en un 60%. 
El problema de gestión prioritario número 3 fue el elevado índice de ocupación en los servicios de Medicina y Cirugía. Lo anterior es difícil de intervenir puesto que por perfil histórico, apreciamos que el Hospital está fuertemente inclinado a la atención Materno Infantil y a enfermedades crónico degenerativas. Los servicios de medicina y cirugía han continuado con porcentajes de egresos superiores al 100%, al igual que pediatría. Aquí consideramos influyó directamente la epidemia de dengue que sufrió el municipio, pero aún sin ella, tomando en cuenta además que ahora las evaluaciones para ingreso les corresponde en alto porcentaje a especialistas, creemos necesario a mediano plazo, evaluar aumentar el número de camas censables para las especialidades, con todo lo que esto significa, es decir personal, insumos y  medicamentos. También se podría analizar la posibilidad de restar camas censables al servicio de ginecología para trasladarlo a medicina por ejemplo, aunque por el número limitado de camas de ginecología no resolvería el problema de manera significativa.
La cantidad de partos atendidos en la institución, tiene un comportamiento normal, el segundo semestre alcanzó los niveles esperados, por lo observado históricamente, pues del 80% de partos en el primer trimestre del año, aumento a 102% en el segundo trimestre. Las cirugías mayores electivas para hospitalización han aumentado incluso al doble del histórico proyectado (100 programadas a 212 realizadas en el segundo trimestre), alcanzando en 2010, 465 cirugías electivas, esto principalmente por la contratación de un jefe de sala, cirujano general, ocho horas diarias, y la disponibilidad de otro quirófano habilitado. Lo anterior impacta en la disminución de referencias quirúrgicas al tercer nivel de atención, y la disminución significativa de espera por consulta de cirugía general y espera por cirugía (ver más abajo). También esto ha influido en  las cirugías electivas ambulatorias, las cuales han aumentado porcentualmente hasta en un 1000% (de 3 esperadas a 27 realizadas en el segundo trimestre) y las de emergencia ambulatorias con un 220% esperados sobre la meta.
Servicios Intermedios
Los servicios intermedios (Rayos X, Laboratorio Clínico y Farmacia), han presentado más bien disminución en el apartado de consulta externa, debido a la disminución de la consulta general y emergencia, la orientación de los exámenes que hace el clínico responsable y la restricción de medicamentos por especialistas. Por otro lado, hay un aumento notable en la cantidad de recetas despachadas y exámenes de laboratorio realizados a los servicios de hospitalización, influidos por la atención directa de los especialistas en los servicios. Además, la cantidad de exámenes que se realizaron durante la epidemia de Dengue contribuyo a este aumento, pues el seguimiento a los pacientes sospechosos y confirmados con los exámenes respectivos, se duplico, incidiendo directamente en la producción del segundo trimestre de 2010. Igual, las recetas despachadas para hospitalización correspondieron al aumento porcentual de los servicios de encamados.
Servicios Generales
Del apartado de servicios generales nos encontramos con aumento en todos los rubros; el de ropa lavada, correspondió al aumento del número de encamados, y los mejores niveles de control implementados por el departamento de ropería. Las raciones de comida despachadas se encuentran por debajo del porcentaje proyectado, a pesar del aumento de encamados debido a la racionalización de los refrigerios, que el año anterior se incluían para todos los pacientes ingresados, pero que este año, debido a los costos, solo se contemplan según requerimiento nutricional. La distancia recorrida en Kms ha sido duplicada para el semestre, en esto influye la cantidad de gestiones administrativas, transferencias de medicamentos y apoyo al primer nivel de atención para el combate de la epidemia de dengue en el municipio.
Gestión de los Servicios
Se enfoco el problema de gestión número 7 en el tiempo de espera de consulta y cirugía ginecológica, así como la cita para USG. Sin embargo la matriz de evaluación PAO consigna los tiempos de espera de las diferentes especialidades; todos los tiempos han disminuido sensiblemente, especialmente Ginecología que era el ítem programado como meta, y que disminuyo casi un 50% ( la meta de 30 días de espera, el segundo trimestre bajo a 17 días de espera). Por otro lado, el tiempo de espera de consulta para pediatría es de 5 días, 0 días para obstetricia y 7 días para cirugía. Actualmente el tiempo se prolongo para las citas con Medicina Interna, debido a que junto con la disponibilidad de dichos especialistas, aumento la demanda de consulta con los mismos, por lo que se ha convertido en el cuello de botella asistencial.
A pesar de sobrepasar las metas estimadas para cirugías programadas, gracias a la disponibilidad de horas cirujano, el porcentaje de cirugías electivas canceladas fue el aceptable, solo se suspendieron 12 en todo el año, las cuales cabe aclarar, se suspendieron porque el paciente no ingreso o tuvo un problema médico que fue corregido y luego fueron reprogramadas. 
El problema de gestión número 5, Infecciones Nosocomiales, fue mantenido por debajo de la meta propuesta (el 1%),  el porcentaje fue de 0.5 % (31 casos) para 2010. Lo anterior gracias a la disponibilidad del comité de infecciones nosocomiales y el involucramiento de las jefaturas en las actividades de pesquisa y control de dicha entidad. Aunado a la gestión financiera que liberó los recursos para invertir en insumos para lavado de manos, disponibilidad de cultivos, medicamentos y medidas para disminuir estancia hospitalaria entre otras, que permitan incidir efectivamente en alcanzar los objetivos establecidos de disminución de infecciones.
La cantidad de pacientes referidos a nuestra institución se comporto según estimaciones en el grupo de no quirúrgicos y quirúrgicos; la cantidad de mujeres que se recibieron para atención de parto fueron acordes a la esperado, en el entendido que la zona geográfica cuenta con una red de unidades de salud que promueven el parto intrahospitalario, y que el hospital tiene alta afluencia de pacientes embarazadas en control, que tienen su parto intrahospitalariamente, no registrándose como referidos de otros establecimientos.
Hay un aumento en la capacidad resolutiva del hospital, gracias al funcionamiento efectivo de los comités hospitalarios (fármaco vigilancia, calidad, materno perinatal, nosocomiales, entre otros), abastecimiento de medicamentos e insumos, y al personal calificado contratado; lo anterior permite disminuir la cantidad de referencias a centros del tercer nivel. Esto puede apreciarse en la matriz de evaluación PAO, en donde se encuentran 22 pacientes (29% de lo estimado) y 27 pacientes (36% de lo estimado) en referencias a consulta médica de especialidad a centros de tercer nivel. Mientras que las referencias para hospitalización no quirúrgica han aumentado proporcionalmente a la demanda observada, los referidos para hospitalización quirúrgica permanecen en niveles esperados.  En general, se acumulo solo el 40% de las referencias a otros establecimientos estimadas para el año.
El punto 4 de los principales problemas de gestión, tenía que ver con garantizar y monitorear el abastecimiento de medicamentos e insumos del hospital, el cual según la página web de Monitoreo a Distancia del Ministerio de Salud fue del 94%, superando el 90% programado, de los medicamentos e insumos críticos para la atención hospitalaria.
</t>
  </si>
  <si>
    <t>ANALISIS DE LAS DETERMINANTES EN SALUD DEL HOSPITAL DE METAPÁN según resultados 2010 / Histórico. Como se puede observar en el apartado anterior, la gran mayoría de los problemas de gestión encontrados fueron abordados y resueltos de manera exitosa. Sin embargo muchos de los esfuerzos realizados implicaron medidas logístico administrativas que ahora se reflejan en los resultados 2010, y que motivan a la dirección hospitalaria plantearse intervenirlas para mejorar la atención a la población optimizando los recursos con que se cuentan. Es así como podemos observar que los perfiles de pacientes atendidos en el hospital, por enfermedades según la CIE 10, continúan siendo los historicamente atendidos. Los pacientes con patologías respiratorias y del sistema digestivo, con trastornos metabólicos y del sistema circulatorio y de causas externas, son la consulta predominante en el Hospital de Metapán. También, los principales egresos hospitalarios, corresponden por un lado a pacientes con neumonía, diarrea y enfermedades crónico degenerativas, y por otro lado cuadros relacionados con la madre y el recién nacido. La mayor cantidad de estancias hospitalarias y procedimientos quirúrgicos, los absorben la madre y el recién nacido, por lo que la orientación en la atención del Hospital de Metapán, es materno infantil y de enfermedades crónico degenerativas. Los servicios finales hospitalarios han incrementado su productividad proporcionalmente a la cantidad de médicos y especialistas contratados, por un lado se aumento la capacidad resolutiva del hospital, y por otro lado esto a significado la inversión y reorganización del gasto para atender las nuevas demandas en las diferentes áreas de la institución. Por ejemplo, el aumento de la capacidad resolutiva ha provocado el aumento de egresos hospitalarios y cirugías mayores, lo cual si bién representa un aumento en la inversión de recursos por la institución, genera bienestar en la población al ser resuelto su problema de salud de manera local y además se corresponde con la política de la dirección general de hospitales de fortalecer los hospitales municipales para disminuir la demanda de los hospitales de referencia. Es importante también señalar que el fortalecimiento  con gineco obstétras, no solo responde a la demanda historicamente observada, sino que también ha servido  para disminuir el riesgo de muertes maternas y ha reducido el porcentaje de cesáreas de 24% en 2009 al 20% en 2010, lo cual se traduce en menores estancias hospitalarias, costos hospitalarios y riesgo de complicaciones quirúrgicas. Sin embargo también podemos remitirnos al comportamiento histórico de la producción de la emergencia, el cual por años se mantuvo en un 10 al 15%, y que ahora representa un 29.6% de la consulta médica, lo cual está fuera del estándar del 15%, y que promueve la saturación y descontento de la población, y la saturación de los departamentos de apoyo, como Rayos X y Laboratorio, que por norma deben atender con tiempos reducidos a esta área, y que redunda en pacientes que no representan una verdadera emergencia, con altos grados de inconformidad. Lo anterior debe ser abordado con una reorganización del área para su optimización.  El aumento en los egresos de medicina y pediatría, corresponde a una mayor capacidad resolutiva, sin embargo la institución se encuentra a la espera de las normas finales del segundo nivel de atención y de cartera de prestaciones de los hospitales municipales para determinar puntualmente cuales serán las patologías y complicaciones que serán referidas al tercer nivel y que permitirán establecer un comportamiento objetivo de los egresos en la institución. En la gestión de servicios se observa como se han llevado los tiempos de espera de consulta por especialidad a la norma establecida por el ministerio, sin embargo, los tiempos de espera de medicina interna se mantienen altos, por lo que será abordado como prioridad para 2011. Los rubros de referencia y retorno, aspectos claves en el funcionamiento de las RIIS, según el nuevo modelo de atención, será otro de los aspectos a seguir durante el 2011, como prioritario, para lograr trabajar de manera articulada con el primer nivel de atención y los hospitales de referencia asignados. La matriz 14 , que aborda el rendimiento de la atención ambulatoria, partos y cirugías, muestra como es necesario redistribuir recursos médicos de la emergencia a la consulta externa para optimizarla, para optimizar los tiempos y los recursos que intervienen una consulta de emergencia</t>
  </si>
  <si>
    <t>Optimizar la gestión de la emergencia hospitalaria</t>
  </si>
  <si>
    <t xml:space="preserve">Fortalecer el papel del Hospital de Metapán en la RIIS </t>
  </si>
  <si>
    <t>Disminuir el riesgo de morbimortalidad materno perinatal</t>
  </si>
  <si>
    <t xml:space="preserve">ANÁLISIS DEL ENTORNO EXTERNO E INTERNO.
HISTORIA DE LA CIUDAD DE METAPAN
Metapán es una Ciudad precolombina de origen Maya - Chortis, claramente dominada por los pipiles, y aunque no se ha conocido nunca su nombre original, sabemos, que el actual Metapán, de lengua Nahuat, significa Río de Maguey. Fue tal el grado de fusión de los elementos civilizadores, de los Yaquis o Pipiles, que a la llegada de los españoles en la temprana mitad del siglo XVI en Metapán, Angue, Ostúa y otros pueblos comprendidos entre el cerro brujo y el lago de Guija corría el dialecto alajuilak, mezcla de los idiomas chorti y nahuat. En 1550 en los pueblos gemelos de San Pedro y Santiago Metapán había una población de 1.000 habitantes poco más o menos.
Es una antiquísima población precolombina situada en el corazón del territorio habitado desde tiempos inmemorables por tribus Maya-Chortis, tribus que a partir del siglo décimo-tercero fueron fuertemente influenciados por los Yaquis o Pipiles. 
La Asamblea Nacional Constituyente centroamericana, instalada en Guatemala, el 22 de agosto de 1823 expidió el siguiente decreto: "La Asamblea Nacional Constituyente de las Provincias Unidas de Centro América, deseando dar testimonio del aprecio que merecen a la Nación los esfuerzos y servicios hechos por los pueblos de Metapán y Ahuachapan a favor de la causa Santa de la libertad, ha tenido a bien decretar y decreta: Los pueblos de Metapán y Ahuachapan usaran en lo sucesivo el nombre de villas 1862. Durante la progresiva y liberal administración del inclino Capitán General don Gerardo Barrios y por Acuerdo Legislativo de 11 de febrero de 1862, se otorgo el titulo de ciudad a la villa de Metapán
ANÁLISIS DEL ENTORNO EXTERNO
El municipio de Metapán y distrito del Departamento de santa Ana, limita al Norte con la República de Guatemala; al Este con Cítala y la Palma (Departamento de Chalatenango), al Sur con Agua Caliente, Nueva Concepción  (Departamento de Chalatenango), Santa Rosa Guachipilín, Masahuat, Texistepeque y San Antonio Pajonal y al Oeste con la República de Guatemala, y comprende un total de 668.36 Km cuadrados, ubicada a orillas del río San José a 470 mts de altura, a 46 Km al norte de la ciudad de Santa Ana, al que se une por carretera pavimentada,  y es considerado el tercer municipio de importancia en este departamento y cuenta con una extensión territorial de 668 Km2, haciéndolo el municipio más grande de todo el país. Con una altitud de 470 metros sobre el nivel del mar y con una población -según DIGESTYC-  de 77,720 habitantes, distribuidos en tres municipios: Metapán, Masahuat y Santa Rosa Guachipilín.
Para su administración, el municipio se divide en 29 cantones y 227 caseríos, sus fiestas Patronales, en honor a San Pedro Apóstol, son celebradas del 20 al 29 de Junio y
a nivel nacional Metapán es conocida como Ciudad Blanca por su alta producción de Cal.
El Municipio de Masahuat del distrito de Metapán departamento de Santa Ana, está limitado al Norte por santa Rosa Guachipilín, al Este por Nueva Concepción, al Sur por Texistepeque y al Oeste por Metapán,  riegan el municipio los ríos: Lempa, Desagüe, Honduritas y otras quebradas menores. En total el Municipio de Masahuat tiene 71.23 Km cuadrados de extensión y para su Administración el Municipio se divide en 5 cantones y 38 Caseríos.
El Municipio de Santa Rosa Guachipilín, del Distrito de Metapán, departamento de Santa Ana, está limitado por los siguientes municipios: al Norte por Metapán, al Este y Sur por Nueva Concepción y al Oeste por Masahuat; tiene una extensión de 38.41 Km y para su administración el Municipio se divide en 6 cantones y 25 caseríos.
La mayor parte de la población es de carácter rural, que concentra sus actividades en labores de producción agrícola, parte en comercio y en algunas manifestaciones de artesanías, estimaciones preliminares señalan que más del 50% de la población económicamente activa se encuentra desocupada (desempleo abierto más subempleo expresado en términos de desempleo pleno), y que el ingreso anual medio de los perceptores de ingreso se ve reforzado fuertemente por las remesas, que son recibidas por entre un 60 y un 70% de la población. 
La infraestructura de saneamiento básico es insuficiente, con porcentajes de potabilización del agua de 25% en el municipio de Masahuat, 21% en el municipio de Santa Rosa Guachipilín, y el 95% en el área urbana y 5% del área rural del municipio de Metapán. Los tres municipios cuentan con un 80% de construcción mixta de viviendas, el resto en un 15% de adobe y el resto de bahareque. Solo el área urbana del municipio de Metapán posee aguas negras por alcantarillado.
El porcentaje de letrinas en el área rural es del 60% en los tres municipios, y el municipio de Masahuat tiene el 65% de electrificación, Santa Rosa Guachipilín el 85%, y el municipio de Metapán con el 96% de electrificación.
El suelo agrícola es escaso y presenta una elevada susceptibilidad a la erosión. En términos generales, se concluye que las explotaciones rurales se caracterizan por un uso predatorio de los recursos naturales. Esta situación es muy evidente en el caso de la actividad forestal. A esta situación contribuye la práctica de quemar intencionalmente áreas boscosas para eludir la ley que impide explotar bosques naturales, pero permite hacerlo en bosques quemados. 
En cuanto a producción agrícola, tienen la mayor importancia los granos básicos maíz y frijol. La producción pecuaria es fundamentalmente bovina de doble propósito (leche y carne), porcina y de aves de corral, que es la más generalizada. Las características de la producción pecuaria varían marcadamente de acuerdo al tamaño de los productores, siendo en general precarias y de baja productividad en el caso de pequeños productores y con buen nivel tecnológico en el caso de los grandes productores. 
Existe una red vial que comunica los municipios de Metapán, Masahuat y Santa Rosa Guachipilín, sin embargo para el acceso desde cantones y caseríos a las cabeceras municipales la mayoría de caminos son vecinales, no pavimentados y atravesados por ríos, lo cual limita el horario de transporte y condiciona las horas pico de consulta externa a la mañana en las instituciones de salud. El Municipio de Metapán será conectado con toda la zona norte de El Salvador a través de la Carretera Longitudinal del Norte, lo cual de seguro impactará en flujo de pacientes que serán atendidos, por el fácil acceso que proporcionará a los habitantes de la zona vecina del departamento de Chalatenango. Solamente funciona un tramo salvadoreño del sistema de ferrocarril, entre Metapán y El Salvador y el ramal Texistepeque -Santa Ana, para transporte de cemento de las plantas Maya y El Ronco de la empresa cementera antes llamado CESSA ahora HOLCIM. 
En general, existe un aceptable equipamiento de comunicaciones en las zonas, con una red de antenas de telefonía celular y fija. Existe una central hidroeléctrica en operación, que es la de Guajoyo, integrada al Sistema de Interconectado de El Salvador, y que toma aguas del Lago Güija.
Para describir un poco el sistema de salud de El Salvador, partimos del parámetro de cambio de gobierno de de modelo de visión asistencialista a modelo de atención basado en derechos,  de un sistema de salud que si bien en la constitución de la republica el estado es el responsable del bienestar de sus ciudadanos brindando salud a la población, se manejaba un sistema de cobro de atención a pacientes conocido como “cuotas voluntarias”, lo que repercutía en una baja cobertura de salud, situación que con el nuevo gobierno se elimino, ocasionando que la consulta se aumentara a todo nivel, detectándose mayores complicaciones de enfermedades fácilmente prevenibles, cambiando totalmente el perfil epidemiológico característico de países sub desarrollados o en vías de desarrollo a un perfil mixto combinado con patologías  del nivel de países desarrollados –crónico degenerativas. 
Se parte de un sistema correctivo a un sistema preventivo, realizando actividades de reparación y corrección (que genera aumento de costos, que deben ser extraídos de un  presupuesto histórico realizado sin base analítica a todos los problemas de salud existentes), a mencionar la reparación de infraestructura, de equipo biomédico, de contratación de personal con modalidad de contratación que no gozan de las prestaciones de ley, de sobrecargar el trabajo a otros por la existencia de recurso con discapacidades, enfermedades crónico degenerativas y de tercera edad, que limita el cumplimiento de responsabilidades y que ponen en riesgo la atención de los pacientes de las instituciones de salud.
El divorcio existente dentro del mismo Ministerio de Salud Publica y Asistencia Social entre las instituciones que conforman el primer y segundo nivel de atención, por el desconocimiento o ignorancia de lo que cada uno de ellos tiene como responsabilidad realizar, genera desorden y costos elevados de atención de pacientes en lugares que no corresponde por el nivel de complejidad, y que se traduce al final en inconformidad de la población, que también desconoce dicha situación.
El hecho que la máxima entidad en salud no sea la rectora de los distintos proveedores de salud creados como son el Instituto Salvadoreño del Seguro Social, Bienestar Magisterial, y Sanidad Militar (fragmentación del sistema de salud) , así como también la segmentación de la población en dos grupos  estrictamente definidos como públicos y privados, crea un subregistro de datos que identifique el perfil epidemiológico de salud, manejo de presupuestos disparejos  entre ellos, que responden a satisfacción de la necesidad y calidad atención basado al tipo de empleo, nivel educativo, y nivel social, limitándose los mejores equipos tecnológicos y científicos para el que tenga la capacidad adquisitiva para costearlos.
La falta de educación de calidad en todos los niveles, que contemplen programas de educación basados en el conocimiento e interpretación de la realidad nacional, priorizando por disminuir o eliminar (en lo que sería un sueño hecho realidad) el analfabetismo, de manera que la población sea el principal protagonista, asumiendo responsabilidades de su propia salud (tratando de eliminar por completo que existen situaciones que si bien es responsabilidad de la entidad de salud la prevención de las epidemias y los brotes,  son las acciones de los humanos los que deben velar por que se ejecuten las medidas preventivas), se traducirían en una disminución abismal de aquellas patologías fácilmente prevenibles y que consumen la mayoría de los servicios de salud como son las diarreas, enfermedades respiratorias y dengue, y en el caso de las enfermedades crónico degenerativas disminuir las complicaciones que generan discapacidades mayores.
Un punto realmente impactante tiene que ver con la población susceptible como son las mujeres en edad fértil, es alarmante el ascenso en las estadísticas de los embarazos en la adolescencia, el inmenso retraso en el factor religioso y cultural en contra de la planificación familiar y la educación en salud sexual y reproductiva a temprana edad, que contribuye a que a nivel nacional todos los hospitales que poseen maternidades, sean el principal diagnostico de egreso y la mayor preocupación en relación a las muertes maternas. 
ANALISIS DEL ENTORNO INTERNO
El 1º de Junio de 1987 comenzò a funcionar en sus instalaciones el centro de salud de Metapàn, sobre la carretera internacional Sta. Ana/Metapàn/Anguiatù;  desde esa fecha nunca a sido remodelado, a pesar que ha sido recategorizado de centro de salud a hospital de segundo nivel. El edificio consta de áreas definidas, área administrativa, consulta externa, documentos médicos, farmacia, hospitalización, mantenimiento y almacén.
Existen documentos legales que rigen el funcionamiento de los Hospitales como son el  reglamento general de hospitales emanado del nivel central, del cual se parte para la elaboración del documento denominado Normas de Control Interno vigentes por un periodo de dos años,  que determinan el quehacer del hospital, y de lo que se vale la Corte de Cuentas de la Republica para el proceso de auditorías, que  cabe mencionar que en el Hospital de Metapan se ha realizado la auditoria del año 2007, pendiente de los años siguientes.
Entre las observaciones realizadas por dicha entidad gubernamental resaltan la rotación de recursos para desempeñar funciones diferentes a la plaza nominal (mas allá del tiempo permitido), las condiciones inadecuadas de infraestructura y medio ambiente de las áreas de almacén para el resguardo de medicamentos e insumos (infraestuctura separada para cada uno de los mencionados),  información de los kardex no acorde a las existencias y con atraso de 3 meses, falta de supervisión al área de mantenimiento con inexistencia de cronograma de actividades e irrespeto e incumplimiento de la normativa, para mencionar los de mas impacto.
El hospital de Metapan cuenta con una serie de comités que permiten el control y supervisión del trabajo realizado en todas las áreas del hospital, a mencionar: comité  de Salud  e  Higiene  Ocupacional, comité  de Emergencias y Desastres, comité  de Vigilancia  de  la Salud  Materno Perinatal, comité  de  Lactancia Materna,  comité    de Infecciones Nosocomiales, comité  Asesor,  comitê de Farmaco Vigilancia Hospitalario, comitê de Auditoria Médica, comitê de SIG (Sistema de Información Gerencial)
La existencia de grupos sindicalistas con dualidad de intereses,  que vela por los derechos laborales y por otro lado que exige puestos jerárgicos  muy alejados del perfil establecido y que caso contrario proceden a acciones de cierre de as instituciones de salud.
Infraestructura
La planta física, nunca ha sido sometida a un plan de mantenimiento correctivo, y las reparaciones efectuadas son poco efectivas en un edificio de más de 20 años. Cabe mencionar que dentro de las áreas críticas está el área de calderas, lavandería y aires acondicionados, que por los años de servicio están sumamente deteriorados.
La infraestructura del Hospital de Metapan, se encuentra construido en una area de 13,967 metros cuadrados, terreno propio y una área de construcción de aproximadamente la mitad del terreno, en donde se encuentra inmersa también la infraestructura de la Unidad de Salud de Metapan, área de una sola planta y cuenta con las áreas de: Consulta externa con 14 consultorios, emergencia, hospitalización, farmacia, almacén, mantenimiento, archivo (ESDOMED), administrativa, laboratorio clínico, sala de operaciones con tres quirófanos, una área de trabajo de parto y una sala de expulsión y  rayos X, Cuenta además con dos ambulancias y cuatro pick ups, 
Producción:
Se puede consultar los diferentes cuadros de las matrices PAO 2011, donde están reflejadas las producciones de todos los servicios hospitalarios.
Recursos humanos
El hospital está organizado funcionalmente en áreas administrativa, médica, para médica y de apoyo.  El organigrama del hospital es de tipo longitudinal y se muestra a continuación.
Del total de personal que labora se cuenta con 39 personas contratadas con modalidad de servicios profesionales, 146 por ley de salario y por contrato fondo GOES y cuenta con 3 personas ad-honorem
Todo el personal administrativo labora en horario de 7:30 am a 3:30 pm y de 8:00 am a 4:00 pm; el personal que realiza turnos asiste de 7:00 am a 3: 00 pm si no tiene turno, y de 3:00pm a 7: 00 am si tiene turno, completando siempre las 40 horas semanales correspondientes.   
Resulta en limitante,  el hecho de las múltiples funciones que deben asumirse por falta de personal que atienda todas las necesidades del hospital, así como también otro grupo de personal que ocupan plazas que no coinciden con las funciones que desempeña o con la profesión. 
Otra limitante a destacar son los bajos salarios  acorde a las profesiones, personal que labora con menos del salario mínimo establecido por la ley,  poco interés por activar o crear mecanismos de incentivación al personal, que trae como consecuencia  las actitudes negativas representadas en el trabajo mediocre, que si bien se ven reflejadas en producción adecuada la calidad es deficiente. 
El ausentismo laboral, genera problema de tal magnitud que se recurre al recargo de trabajo en otro personal, a realizar actividades que no están determinadas en las funciones de cada empleado, a la suspensión o interrupción de vacaciones, lo que repercute en riesgos de atención al paciente, poniéndolos en manos de recursos cansados, poco estimulados, poco o nada incentivados y con muy poca identificación y responsabilidad social. 
Otro factor determinante en la atención de calidad radica en la experticia de los profesionales en salud, en relación a capacitación continua que permita brindar una atención acorde a las actualizaciones en manejo de patologías, poco o nada de interés por continuar con la formación profesional, traduciéndose al final en costos, dado el aumento de las estancias hospitalarias, aumento en las infecciones nosocomiales y uso irracional de antibióticos con generación de resistencias.  
El trabajo en equipo es una estrategia fundamental en la toma de decisiones y solución de problemas, situación que dada la competencia desleal (mas marcado en el profesional médico), no permite el manejo integral de las patologías, lo que al final se traduce en costos para las instituciones de salud, dado los cambios constantes de indicaciones medicas  predominantes del profesional con mayor jerarquía o poder, subestimando las opiniones del resto, y al final manejando a los pacientes con protocolos obsoletos realizados por una minoría. 
Sistema de Información
EL hospital de Metapán cuenta con un sistema de red que permite estar conectado con el nivel central,  enviando información relacionado a  producción y actividad asistencial,  hospitalaria, vigilancia epidemiológica, situación de  morbilidad y mortalidad, se está en proceso de sistema de expediente en línea, que permita el control de los pacientes en cualquier centro de salud público.
En relación a la cantidad y calidad de los equipos informáticos  igual que el equipo biomédico son activos fijos que son insuficientes y con poco o nulo mantenimiento, y como es de costumbre  que incurren en gastos de tipo curativo, cuando su uso excesivo y en condiciones inadecuadas  generan que los mismos experimente frecuentes bajas.
Área  Financiera
Se puede observar en la Hoja 11 sobre Información General de Presupuesto, lo referente al manejo del presupuesto hospitalario.
El hospital compra los servicios de limpieza, de seguridad y de alimentación, y vende los servicios de laboratorio clínico, rayos X y alimentación al Instituto Salvadoreño del Seguro Social de Metapán, lugar que no cuenta con hospitalización, ni atención de partos, lo que al final se traduce en un servicio que presta lo público para personal asegurado.  
Programa de Calidad
Docencia e investigación, el hospital finalizó el proceso formativo de la modalidad de residente, y solo se le da seguimiento a una programación de educación continua evaluada, que aborda los temas más comunes de cada área y que pretende mantener informado y actualizado al equipo de médicos generales. No existen programas de investigación formal de ninguna de las áreas médicas o paramédicas.
</t>
  </si>
  <si>
    <t>Incrementar la eficacia, eficiencia y calidad de los servicios  que presta el Hospital de Metapán, como parte relevante de la Red Integral e Integrada del Municipio de Metapán y el Departamento de Santa Ana.</t>
  </si>
  <si>
    <t>OBJETIVO: Incrementar la eficacia, eficiencia y calidad de los servicios  que presta el Hospital de Metapán, como parte relevante de la Red Integral e Integrada del Municipio de Metapán y el Departamento de Santa Ana.</t>
  </si>
  <si>
    <t>Resultado esperado: Fortalecer el componenete referencia/retorno en el Hospital de Metapán</t>
  </si>
  <si>
    <t>Resultado esperado: Reducir los tiempos de espera de cita con Medicina Interna</t>
  </si>
  <si>
    <t>Resultado esperado: Disminuir el riesgo de morbimortalidad materno perinatal</t>
  </si>
  <si>
    <t>Resultado esperado: Optimizar la gestiòn de la emergencia hospitalaria</t>
  </si>
  <si>
    <t xml:space="preserve">Mantener un flujo constante de abastecimiento de insumos y medicamentos necesarios para la atención de la mujer y el menor de 5 años. </t>
  </si>
  <si>
    <t>Dar continuidad al programa de educación continua a todos los recursos médicos y de enfermería.</t>
  </si>
  <si>
    <t xml:space="preserve">Contar con personal idóneo para brindar la mejor atención posible a la madre y menor de cinco años que lo amerite. </t>
  </si>
  <si>
    <t>Fortalecer la comunicación con el primer nivel de atención y el hospital de referencia</t>
  </si>
  <si>
    <t xml:space="preserve">Documentar de manera centralizada las referencias recibidas y los retornos generados en el hospital de metapán </t>
  </si>
  <si>
    <t>Optimizar la selección de pacientes en emergencia</t>
  </si>
  <si>
    <t>Fortalecer la consulta externa hospitalaria derivando recursos médicos.</t>
  </si>
  <si>
    <t>Resultado esperado: Optimizar los servicios de hospitalización de medicina interna y pediatría</t>
  </si>
  <si>
    <t>Evaluar la redistribución de camas sensables dentro de la institución para disminuir indices ocupacionales</t>
  </si>
  <si>
    <t>Acortar el tiempo de espera de cita de la especialidad de medicina interna al menor tiempo posible con la actual capacidad instalada.</t>
  </si>
  <si>
    <t>Disminuir la cantidad de exámenes y radiografías enviadas de la emergencia, lo cual satura estos departamentos y genera inconformidad del ususario por los tiempos prolongados de espera.</t>
  </si>
  <si>
    <t>Reuniones bimensuales con RIIS Santa Ana</t>
  </si>
  <si>
    <t>Número de referencias y retornos por área y totales por mes</t>
  </si>
  <si>
    <t>Actas de reuniones</t>
  </si>
  <si>
    <t>Archivo único de referencias y retornos</t>
  </si>
  <si>
    <t>Acortar 15 días de espera cada trimestre</t>
  </si>
  <si>
    <t>Estudio de tiempos de espera por cita de especialidad y atestados</t>
  </si>
  <si>
    <t>Mantener en un 100% el abastecimiento de medicamentos e insumos</t>
  </si>
  <si>
    <t>programas de educación continua para médicos y enfermeras</t>
  </si>
  <si>
    <t>Programación y distribución de personal médico y de enfermería</t>
  </si>
  <si>
    <t>SINAB hospitalario / formatos de eficiencia por departamento</t>
  </si>
  <si>
    <t>Exámenes, notas, listados de asistencia</t>
  </si>
  <si>
    <t>Programaciones mensuales de trabajo</t>
  </si>
  <si>
    <t>85% de consulta médica y de especialidad atendida en CE</t>
  </si>
  <si>
    <t>Pérfil diagnóstico acorde a emergencia hospitalaria</t>
  </si>
  <si>
    <t>2 horas efectivas de contestación de exámenes en la emergencia y radiografías</t>
  </si>
  <si>
    <t>Sistema de Morbimortalidad en linea, informe mensual</t>
  </si>
  <si>
    <t>Estudio de tiempos de espera por contestación de exámenes</t>
  </si>
  <si>
    <t>Estudio de factibilidad de redistribución camas sensables</t>
  </si>
  <si>
    <t>Apegarse a los protocolos de segundo nivel y/o Hospitales Municipales para la referencia del paciente independientemente de la capacidad resolutiva del hospital</t>
  </si>
  <si>
    <t>Protocolos de Segundo Nivel de Atención por aprobarse</t>
  </si>
  <si>
    <t>Estudio y atestados</t>
  </si>
  <si>
    <t>Porcentajes de indices ocupacionales hospitalarios</t>
  </si>
  <si>
    <t>Epidemiologa</t>
  </si>
  <si>
    <t>Médico asesor de insumos y medicamentos</t>
  </si>
  <si>
    <t>Jefe División Médica y Jefe de Enfermería</t>
  </si>
  <si>
    <t>Jefe División Médica, Jefe de Gineco Obstetricia y Pediatria</t>
  </si>
  <si>
    <t>Jefe ESDOMED, Jefe Consulta Externa y Jefe División Médica</t>
  </si>
  <si>
    <t>Jefe ESDOMED</t>
  </si>
  <si>
    <t>Jefe Laboratorio Clínico y Jefe División Médica</t>
  </si>
  <si>
    <t>Jefe Medicina Interna, Jefe Pediatría y Jefe División Médica</t>
  </si>
  <si>
    <t>El responsable de convocar a reunión del comité de referencia y retorno de la RIIS es el SIBASI, sin embargo de no existir convocatorias, el hospital a través del SIBASI invitará a las unidades de salud del área geográfica de referencia para reuniones de coordinación.</t>
  </si>
  <si>
    <t>Jefe de Consulta Externa</t>
  </si>
  <si>
    <t>La logistica de reorganización para lograr acortar tiempos de espera exige de cambios de horario y utlización de consultorios, lo cual no siempre es factible. Además de personal de apoyo no médico, como archivo.</t>
  </si>
  <si>
    <t>Las compras conjuntas sufren atrazos en los tiempos de espera, desabasteciendo  a todas las insitituciones al mismo tiempo, dificultando transferencias y prestamos que garanticen el 100% de abastecimiento.</t>
  </si>
  <si>
    <t>Se está esperando la aprobación de los protocolos de atención del segundo nivel de atención por la dirección general de hospitales, para poder documentar de una manera protocolizada las referencias al tercer nivel de atención.</t>
  </si>
  <si>
    <t>Este es el segundo año en el que pretendemos incidir en los índices ocupacionales, sin embargo estos no son constantes en el tiempo. Existen períodos en los que Hospitalización Pediatría tiene índices ocupacionales menores al 50%. Por otro lado, el aumentar camas sensables exige recursos en todas las áreas (humanos, insumos, etc) con el que el hospital no cuenta. Si al protocolizar de manera formal las patologías que deben ser manejadas en la institución disminuyen estos índices, no sería necesarias otras gestiones. Sin embargo preveemos aumente la demanda de servicios a mediano y largo plazo por la carretera longitudinal del norte que facilitará la consulta de población del norte del país a la institución.</t>
  </si>
  <si>
    <t>No Dato</t>
  </si>
  <si>
    <t>Proporcionar atención de segundo nivel en las cuatro áreas básicas a la RIIS de Metapán</t>
  </si>
  <si>
    <t>Proporcionar servicios de laboratorio y gabinete a la RIIS de Metapán</t>
  </si>
  <si>
    <t>Realizar vigilancia epidemiológica de tipo centinela en el área geográfica asignada</t>
  </si>
  <si>
    <t>Referencia oportuna de pacientes que necesiten referencia al 3er nivel</t>
  </si>
  <si>
    <t>Hospital Amigo de los Niños</t>
  </si>
  <si>
    <t>Apoyo de laboratorio y rayos X a través de convenios con el ISSS de Metapán</t>
  </si>
  <si>
    <t>Conclusión: seún los resultados del año 2010 y la consolidación en el modelos de RIIS del MINSAL, los objetivos del Hospital, se orientan a la consolidación del Hospital de Metapán dentro de la RIIS,  y mejorar la calidad de atención de la institución, garantizando la disminución de riesgo de morbimortalidad materno infantil, acortamiento de tiempos d eespera y la sistematización de la consulta, así como la descongestión de los servicios hospitalarios.</t>
  </si>
  <si>
    <t>Optimizar la gestión de los servicios de hospitalización para el òptimo aprovechamiento de los recursos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</si>
</sst>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164" formatCode="_-&quot;$&quot;* #,##0.00_-;\-&quot;$&quot;* #,##0.00_-;_-&quot;$&quot;* &quot;-&quot;??_-;_-@_-"/>
    <numFmt numFmtId="165" formatCode="0.0%"/>
    <numFmt numFmtId="166" formatCode="#,##0.0"/>
    <numFmt numFmtId="167" formatCode="0.0"/>
    <numFmt numFmtId="168" formatCode="#,##0;[Red]#,##0"/>
    <numFmt numFmtId="169" formatCode="0E+00"/>
    <numFmt numFmtId="170" formatCode="dd\-mmm\-yyyy"/>
  </numFmts>
  <fonts count="93" x14ac:knownFonts="1">
    <font>
      <sz val="11"/>
      <color theme="1"/>
      <name val="Calibri"/>
      <family val="2"/>
      <scheme val="minor"/>
    </font>
    <font>
      <sz val="11"/>
      <color indexed="8"/>
      <name val="Calibri"/>
      <family val="2"/>
    </font>
    <font>
      <sz val="11"/>
      <color indexed="8"/>
      <name val="Calibri"/>
      <family val="2"/>
    </font>
    <font>
      <b/>
      <sz val="10"/>
      <name val="Arial"/>
      <family val="2"/>
    </font>
    <font>
      <u/>
      <sz val="10"/>
      <color indexed="12"/>
      <name val="Arial"/>
      <family val="2"/>
    </font>
    <font>
      <sz val="10"/>
      <color indexed="8"/>
      <name val="Tahoma"/>
      <family val="2"/>
    </font>
    <font>
      <b/>
      <sz val="9"/>
      <color indexed="81"/>
      <name val="Tahoma"/>
      <family val="2"/>
    </font>
    <font>
      <sz val="9"/>
      <color indexed="81"/>
      <name val="Tahoma"/>
      <family val="2"/>
    </font>
    <font>
      <b/>
      <sz val="10"/>
      <color indexed="8"/>
      <name val="Tahoma"/>
      <family val="2"/>
    </font>
    <font>
      <sz val="10"/>
      <color indexed="8"/>
      <name val="Arial"/>
      <family val="2"/>
    </font>
    <font>
      <b/>
      <sz val="9"/>
      <name val="Arial"/>
      <family val="2"/>
    </font>
    <font>
      <b/>
      <sz val="8"/>
      <name val="Arial"/>
      <family val="2"/>
    </font>
    <font>
      <b/>
      <sz val="12"/>
      <name val="Arial"/>
      <family val="2"/>
    </font>
    <font>
      <sz val="10"/>
      <name val="Arial"/>
      <family val="2"/>
    </font>
    <font>
      <b/>
      <sz val="11"/>
      <name val="Arial"/>
      <family val="2"/>
    </font>
    <font>
      <sz val="11"/>
      <name val="Arial"/>
      <family val="2"/>
    </font>
    <font>
      <b/>
      <sz val="11"/>
      <color indexed="17"/>
      <name val="Arial"/>
      <family val="2"/>
    </font>
    <font>
      <sz val="9"/>
      <name val="Arial"/>
      <family val="2"/>
    </font>
    <font>
      <sz val="8"/>
      <name val="Arial"/>
      <family val="2"/>
    </font>
    <font>
      <sz val="11"/>
      <color indexed="10"/>
      <name val="Arial"/>
      <family val="2"/>
    </font>
    <font>
      <b/>
      <sz val="11"/>
      <color indexed="8"/>
      <name val="Calibri"/>
      <family val="2"/>
    </font>
    <font>
      <sz val="9"/>
      <color indexed="8"/>
      <name val="Calibri"/>
      <family val="2"/>
    </font>
    <font>
      <sz val="12"/>
      <name val="Arial"/>
      <family val="2"/>
    </font>
    <font>
      <b/>
      <sz val="20"/>
      <name val="Arial"/>
      <family val="2"/>
    </font>
    <font>
      <b/>
      <sz val="18"/>
      <name val="Arial"/>
      <family val="2"/>
    </font>
    <font>
      <b/>
      <sz val="11"/>
      <color indexed="10"/>
      <name val="Arial"/>
      <family val="2"/>
    </font>
    <font>
      <b/>
      <sz val="11"/>
      <color indexed="12"/>
      <name val="Arial"/>
      <family val="2"/>
    </font>
    <font>
      <b/>
      <sz val="10"/>
      <color indexed="8"/>
      <name val="Arial"/>
      <family val="2"/>
    </font>
    <font>
      <b/>
      <sz val="16"/>
      <name val="Arial"/>
      <family val="2"/>
    </font>
    <font>
      <u/>
      <sz val="10"/>
      <color indexed="12"/>
      <name val="Arial"/>
      <family val="2"/>
    </font>
    <font>
      <b/>
      <sz val="7"/>
      <name val="Arial"/>
      <family val="2"/>
    </font>
    <font>
      <sz val="7"/>
      <name val="Arial"/>
      <family val="2"/>
    </font>
    <font>
      <sz val="7"/>
      <color indexed="12"/>
      <name val="Arial"/>
      <family val="2"/>
    </font>
    <font>
      <b/>
      <i/>
      <sz val="8"/>
      <name val="Arial"/>
      <family val="2"/>
    </font>
    <font>
      <b/>
      <sz val="14"/>
      <name val="Arial"/>
      <family val="2"/>
    </font>
    <font>
      <b/>
      <sz val="12"/>
      <color indexed="9"/>
      <name val="Arial"/>
      <family val="2"/>
    </font>
    <font>
      <sz val="10"/>
      <color indexed="9"/>
      <name val="Arial"/>
      <family val="2"/>
    </font>
    <font>
      <b/>
      <sz val="11"/>
      <name val="Calibri"/>
      <family val="2"/>
    </font>
    <font>
      <sz val="9"/>
      <name val="Calibri"/>
      <family val="2"/>
    </font>
    <font>
      <b/>
      <sz val="10"/>
      <color indexed="9"/>
      <name val="Arial"/>
      <family val="2"/>
    </font>
    <font>
      <b/>
      <shadow/>
      <sz val="10"/>
      <name val="Arial"/>
      <family val="2"/>
    </font>
    <font>
      <vertAlign val="superscript"/>
      <sz val="11"/>
      <color indexed="8"/>
      <name val="Calibri"/>
      <family val="2"/>
    </font>
    <font>
      <b/>
      <vertAlign val="superscript"/>
      <sz val="10"/>
      <name val="Calibri"/>
      <family val="2"/>
    </font>
    <font>
      <sz val="11"/>
      <color indexed="8"/>
      <name val="Calibri"/>
      <family val="2"/>
    </font>
    <font>
      <b/>
      <sz val="11"/>
      <color indexed="8"/>
      <name val="Calibri"/>
      <family val="2"/>
    </font>
    <font>
      <sz val="9"/>
      <color indexed="8"/>
      <name val="Calibri"/>
      <family val="2"/>
    </font>
    <font>
      <sz val="8"/>
      <color indexed="8"/>
      <name val="Calibri"/>
      <family val="2"/>
    </font>
    <font>
      <b/>
      <sz val="12"/>
      <color indexed="10"/>
      <name val="Arial"/>
      <family val="2"/>
    </font>
    <font>
      <b/>
      <sz val="12"/>
      <name val="Calibri"/>
      <family val="2"/>
    </font>
    <font>
      <b/>
      <sz val="10"/>
      <name val="Calibri"/>
      <family val="2"/>
    </font>
    <font>
      <b/>
      <sz val="9"/>
      <name val="Calibri"/>
      <family val="2"/>
    </font>
    <font>
      <sz val="10"/>
      <color indexed="8"/>
      <name val="Calibri"/>
      <family val="2"/>
    </font>
    <font>
      <b/>
      <sz val="12"/>
      <color indexed="8"/>
      <name val="Calibri"/>
      <family val="2"/>
    </font>
    <font>
      <sz val="10"/>
      <color indexed="8"/>
      <name val="Calibri"/>
      <family val="2"/>
    </font>
    <font>
      <sz val="11"/>
      <color indexed="8"/>
      <name val="Calibri"/>
      <family val="2"/>
    </font>
    <font>
      <b/>
      <sz val="11"/>
      <name val="Calibri"/>
      <family val="2"/>
    </font>
    <font>
      <sz val="10"/>
      <name val="Calibri"/>
      <family val="2"/>
    </font>
    <font>
      <sz val="11"/>
      <name val="Calibri"/>
      <family val="2"/>
    </font>
    <font>
      <b/>
      <sz val="11"/>
      <color indexed="17"/>
      <name val="Calibri"/>
      <family val="2"/>
    </font>
    <font>
      <sz val="9"/>
      <name val="Calibri"/>
      <family val="2"/>
    </font>
    <font>
      <sz val="8"/>
      <name val="Calibri"/>
      <family val="2"/>
    </font>
    <font>
      <sz val="11"/>
      <color indexed="10"/>
      <name val="Calibri"/>
      <family val="2"/>
    </font>
    <font>
      <b/>
      <sz val="8"/>
      <name val="Calibri"/>
      <family val="2"/>
    </font>
    <font>
      <sz val="10"/>
      <color indexed="10"/>
      <name val="Calibri"/>
      <family val="2"/>
    </font>
    <font>
      <sz val="12"/>
      <name val="Calibri"/>
      <family val="2"/>
    </font>
    <font>
      <sz val="11"/>
      <color indexed="8"/>
      <name val="Arial"/>
      <family val="2"/>
    </font>
    <font>
      <b/>
      <sz val="11"/>
      <color indexed="8"/>
      <name val="Calibri"/>
      <family val="2"/>
    </font>
    <font>
      <b/>
      <sz val="20"/>
      <name val="Calibri"/>
      <family val="2"/>
    </font>
    <font>
      <b/>
      <sz val="18"/>
      <name val="Calibri"/>
      <family val="2"/>
    </font>
    <font>
      <b/>
      <sz val="14"/>
      <name val="Calibri"/>
      <family val="2"/>
    </font>
    <font>
      <sz val="10"/>
      <color indexed="43"/>
      <name val="Calibri"/>
      <family val="2"/>
    </font>
    <font>
      <b/>
      <sz val="12"/>
      <color indexed="17"/>
      <name val="Calibri"/>
      <family val="2"/>
    </font>
    <font>
      <b/>
      <sz val="16"/>
      <name val="Calibri"/>
      <family val="2"/>
    </font>
    <font>
      <sz val="20"/>
      <name val="Calibri"/>
      <family val="2"/>
    </font>
    <font>
      <sz val="11"/>
      <color indexed="8"/>
      <name val="Calibri"/>
      <family val="2"/>
    </font>
    <font>
      <sz val="10"/>
      <name val="Arial"/>
      <family val="2"/>
    </font>
    <font>
      <sz val="10"/>
      <color indexed="10"/>
      <name val="Arial"/>
      <family val="2"/>
    </font>
    <font>
      <i/>
      <sz val="10"/>
      <name val="Arial"/>
      <family val="2"/>
    </font>
    <font>
      <b/>
      <sz val="10"/>
      <color indexed="8"/>
      <name val="Calibri"/>
      <family val="2"/>
    </font>
    <font>
      <sz val="10"/>
      <color indexed="10"/>
      <name val="Arial"/>
      <family val="2"/>
    </font>
    <font>
      <b/>
      <sz val="10"/>
      <color indexed="18"/>
      <name val="Calibri"/>
      <family val="2"/>
    </font>
    <font>
      <b/>
      <sz val="11"/>
      <color indexed="10"/>
      <name val="Calibri"/>
      <family val="2"/>
    </font>
    <font>
      <b/>
      <sz val="11"/>
      <color indexed="18"/>
      <name val="Calibri"/>
      <family val="2"/>
    </font>
    <font>
      <b/>
      <sz val="11"/>
      <color indexed="62"/>
      <name val="Calibri"/>
      <family val="2"/>
    </font>
    <font>
      <sz val="10"/>
      <color indexed="9"/>
      <name val="Calibri"/>
      <family val="2"/>
    </font>
    <font>
      <sz val="12"/>
      <color theme="1"/>
      <name val="Calibri"/>
      <family val="2"/>
      <scheme val="minor"/>
    </font>
    <font>
      <sz val="9"/>
      <color theme="1"/>
      <name val="Calibri"/>
      <family val="2"/>
      <scheme val="minor"/>
    </font>
    <font>
      <sz val="10"/>
      <color rgb="FF000000"/>
      <name val="Calibri"/>
      <family val="2"/>
      <scheme val="minor"/>
    </font>
    <font>
      <sz val="10"/>
      <color indexed="8"/>
      <name val="Calibri"/>
      <family val="2"/>
      <scheme val="minor"/>
    </font>
    <font>
      <sz val="11"/>
      <color indexed="8"/>
      <name val="Calibri"/>
      <family val="2"/>
      <scheme val="minor"/>
    </font>
    <font>
      <sz val="10"/>
      <name val="Calibri"/>
      <family val="2"/>
      <scheme val="minor"/>
    </font>
    <font>
      <sz val="11"/>
      <name val="Calibri"/>
      <family val="2"/>
      <scheme val="minor"/>
    </font>
    <font>
      <sz val="8"/>
      <color theme="1"/>
      <name val="Arial"/>
      <family val="2"/>
    </font>
  </fonts>
  <fills count="25">
    <fill>
      <patternFill patternType="none"/>
    </fill>
    <fill>
      <patternFill patternType="gray125"/>
    </fill>
    <fill>
      <patternFill patternType="solid">
        <fgColor indexed="42"/>
        <bgColor indexed="64"/>
      </patternFill>
    </fill>
    <fill>
      <patternFill patternType="solid">
        <fgColor indexed="44"/>
        <bgColor indexed="64"/>
      </patternFill>
    </fill>
    <fill>
      <patternFill patternType="solid">
        <fgColor indexed="43"/>
        <bgColor indexed="64"/>
      </patternFill>
    </fill>
    <fill>
      <patternFill patternType="solid">
        <fgColor indexed="9"/>
        <bgColor indexed="64"/>
      </patternFill>
    </fill>
    <fill>
      <patternFill patternType="solid">
        <fgColor indexed="8"/>
        <bgColor indexed="64"/>
      </patternFill>
    </fill>
    <fill>
      <patternFill patternType="solid">
        <fgColor indexed="11"/>
        <bgColor indexed="64"/>
      </patternFill>
    </fill>
    <fill>
      <patternFill patternType="solid">
        <fgColor indexed="22"/>
        <bgColor indexed="64"/>
      </patternFill>
    </fill>
    <fill>
      <patternFill patternType="solid">
        <fgColor indexed="55"/>
        <bgColor indexed="64"/>
      </patternFill>
    </fill>
    <fill>
      <patternFill patternType="solid">
        <fgColor indexed="31"/>
        <bgColor indexed="64"/>
      </patternFill>
    </fill>
    <fill>
      <patternFill patternType="solid">
        <fgColor indexed="47"/>
        <bgColor indexed="64"/>
      </patternFill>
    </fill>
    <fill>
      <patternFill patternType="solid">
        <fgColor indexed="26"/>
        <bgColor indexed="64"/>
      </patternFill>
    </fill>
    <fill>
      <patternFill patternType="solid">
        <fgColor indexed="41"/>
        <bgColor indexed="64"/>
      </patternFill>
    </fill>
    <fill>
      <patternFill patternType="solid">
        <fgColor indexed="42"/>
        <bgColor indexed="8"/>
      </patternFill>
    </fill>
    <fill>
      <patternFill patternType="solid">
        <fgColor indexed="22"/>
        <bgColor indexed="0"/>
      </patternFill>
    </fill>
    <fill>
      <patternFill patternType="solid">
        <fgColor indexed="40"/>
        <bgColor indexed="0"/>
      </patternFill>
    </fill>
    <fill>
      <patternFill patternType="solid">
        <fgColor indexed="22"/>
        <bgColor indexed="8"/>
      </patternFill>
    </fill>
    <fill>
      <patternFill patternType="solid">
        <fgColor indexed="43"/>
        <bgColor indexed="8"/>
      </patternFill>
    </fill>
    <fill>
      <patternFill patternType="gray0625">
        <fgColor indexed="13"/>
        <bgColor indexed="63"/>
      </patternFill>
    </fill>
    <fill>
      <patternFill patternType="solid">
        <fgColor indexed="51"/>
        <bgColor indexed="64"/>
      </patternFill>
    </fill>
    <fill>
      <patternFill patternType="solid">
        <fgColor indexed="15"/>
        <bgColor indexed="64"/>
      </patternFill>
    </fill>
    <fill>
      <patternFill patternType="solid">
        <fgColor indexed="18"/>
        <bgColor indexed="64"/>
      </patternFill>
    </fill>
    <fill>
      <patternFill patternType="solid">
        <fgColor indexed="13"/>
        <bgColor indexed="64"/>
      </patternFill>
    </fill>
    <fill>
      <patternFill patternType="solid">
        <fgColor rgb="FFFFFFFF"/>
        <bgColor indexed="64"/>
      </patternFill>
    </fill>
  </fills>
  <borders count="90">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style="medium">
        <color indexed="64"/>
      </left>
      <right style="thin">
        <color indexed="64"/>
      </right>
      <top/>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22"/>
      </left>
      <right/>
      <top style="thin">
        <color indexed="22"/>
      </top>
      <bottom style="thin">
        <color indexed="22"/>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s>
  <cellStyleXfs count="10">
    <xf numFmtId="0" fontId="0" fillId="0" borderId="0"/>
    <xf numFmtId="0" fontId="4"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164" fontId="43" fillId="0" borderId="0" applyFont="0" applyFill="0" applyBorder="0" applyAlignment="0" applyProtection="0"/>
    <xf numFmtId="0" fontId="13" fillId="0" borderId="0"/>
    <xf numFmtId="0" fontId="13" fillId="0" borderId="0"/>
    <xf numFmtId="0" fontId="13" fillId="0" borderId="0"/>
    <xf numFmtId="9" fontId="43"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cellStyleXfs>
  <cellXfs count="1267">
    <xf numFmtId="0" fontId="0" fillId="0" borderId="0" xfId="0"/>
    <xf numFmtId="0" fontId="0" fillId="0" borderId="0" xfId="0" applyAlignment="1">
      <alignment horizontal="center" vertical="center"/>
    </xf>
    <xf numFmtId="0" fontId="0" fillId="2" borderId="0" xfId="0" applyFill="1" applyProtection="1"/>
    <xf numFmtId="0" fontId="0" fillId="0" borderId="0" xfId="0" applyProtection="1"/>
    <xf numFmtId="0" fontId="0" fillId="0" borderId="0" xfId="0" applyFill="1"/>
    <xf numFmtId="0" fontId="16" fillId="2" borderId="0" xfId="0" applyFont="1" applyFill="1" applyAlignment="1" applyProtection="1">
      <alignment horizontal="left"/>
    </xf>
    <xf numFmtId="3" fontId="0" fillId="2" borderId="2" xfId="0" applyNumberFormat="1" applyFill="1" applyBorder="1" applyAlignment="1">
      <alignment horizontal="center" vertical="center"/>
    </xf>
    <xf numFmtId="3" fontId="0" fillId="0" borderId="0" xfId="0" applyNumberFormat="1" applyAlignment="1">
      <alignment horizontal="center" vertical="center"/>
    </xf>
    <xf numFmtId="0" fontId="13" fillId="0" borderId="0" xfId="0" applyFont="1" applyProtection="1"/>
    <xf numFmtId="0" fontId="13" fillId="0" borderId="0" xfId="0" applyFont="1" applyAlignment="1" applyProtection="1">
      <alignment horizontal="center" vertical="center"/>
    </xf>
    <xf numFmtId="0" fontId="11" fillId="3" borderId="2" xfId="0" applyFont="1" applyFill="1" applyBorder="1" applyAlignment="1" applyProtection="1">
      <alignment horizontal="center" vertical="center" wrapText="1"/>
    </xf>
    <xf numFmtId="0" fontId="3" fillId="4" borderId="2" xfId="0" applyFont="1" applyFill="1" applyBorder="1" applyAlignment="1" applyProtection="1">
      <alignment vertical="center"/>
    </xf>
    <xf numFmtId="0" fontId="15" fillId="4" borderId="2" xfId="0" applyFont="1" applyFill="1" applyBorder="1" applyAlignment="1" applyProtection="1">
      <alignment horizontal="center" vertical="center"/>
    </xf>
    <xf numFmtId="0" fontId="13" fillId="5" borderId="2" xfId="0" applyFont="1" applyFill="1" applyBorder="1" applyAlignment="1" applyProtection="1">
      <alignment horizontal="center" vertical="center"/>
    </xf>
    <xf numFmtId="3" fontId="15" fillId="4" borderId="2" xfId="0" applyNumberFormat="1" applyFont="1" applyFill="1" applyBorder="1" applyAlignment="1" applyProtection="1">
      <alignment horizontal="center" vertical="center"/>
    </xf>
    <xf numFmtId="10" fontId="15" fillId="0" borderId="2" xfId="0" applyNumberFormat="1" applyFont="1" applyBorder="1" applyAlignment="1" applyProtection="1">
      <alignment horizontal="center" vertical="center"/>
    </xf>
    <xf numFmtId="3" fontId="14" fillId="5" borderId="2" xfId="0" applyNumberFormat="1" applyFont="1" applyFill="1" applyBorder="1" applyAlignment="1" applyProtection="1">
      <alignment horizontal="center" vertical="center"/>
    </xf>
    <xf numFmtId="3" fontId="25" fillId="5" borderId="2" xfId="0" applyNumberFormat="1" applyFont="1" applyFill="1" applyBorder="1" applyAlignment="1" applyProtection="1">
      <alignment horizontal="center" vertical="center"/>
    </xf>
    <xf numFmtId="10" fontId="26" fillId="5" borderId="2" xfId="0" applyNumberFormat="1" applyFont="1" applyFill="1" applyBorder="1" applyAlignment="1" applyProtection="1">
      <alignment horizontal="center" vertical="center"/>
    </xf>
    <xf numFmtId="0" fontId="3" fillId="4" borderId="2" xfId="0" applyFont="1" applyFill="1" applyBorder="1" applyAlignment="1" applyProtection="1">
      <alignment horizontal="center" vertical="center"/>
    </xf>
    <xf numFmtId="10" fontId="15" fillId="4" borderId="2" xfId="0" applyNumberFormat="1" applyFont="1" applyFill="1" applyBorder="1" applyAlignment="1" applyProtection="1">
      <alignment horizontal="center" vertical="center"/>
    </xf>
    <xf numFmtId="3" fontId="19" fillId="4" borderId="2" xfId="0" applyNumberFormat="1" applyFont="1" applyFill="1" applyBorder="1" applyAlignment="1" applyProtection="1">
      <alignment horizontal="center" vertical="center"/>
    </xf>
    <xf numFmtId="0" fontId="13" fillId="0" borderId="2" xfId="0" applyFont="1" applyFill="1" applyBorder="1" applyAlignment="1" applyProtection="1">
      <alignment horizontal="center" vertical="center"/>
    </xf>
    <xf numFmtId="0" fontId="14" fillId="4" borderId="2" xfId="0" applyFont="1" applyFill="1" applyBorder="1" applyAlignment="1" applyProtection="1">
      <alignment horizontal="center" vertical="center"/>
    </xf>
    <xf numFmtId="3" fontId="14" fillId="4" borderId="2" xfId="0" applyNumberFormat="1" applyFont="1" applyFill="1" applyBorder="1" applyAlignment="1" applyProtection="1">
      <alignment horizontal="center" vertical="center"/>
    </xf>
    <xf numFmtId="10" fontId="14" fillId="4" borderId="2" xfId="0" applyNumberFormat="1" applyFont="1" applyFill="1" applyBorder="1" applyAlignment="1" applyProtection="1">
      <alignment horizontal="center" vertical="center"/>
    </xf>
    <xf numFmtId="0" fontId="9" fillId="5" borderId="2" xfId="0" applyFont="1" applyFill="1" applyBorder="1" applyAlignment="1" applyProtection="1">
      <alignment horizontal="center" vertical="center" wrapText="1"/>
    </xf>
    <xf numFmtId="0" fontId="9" fillId="0" borderId="2" xfId="0" applyFont="1" applyBorder="1" applyAlignment="1" applyProtection="1">
      <alignment horizontal="center" vertical="center" wrapText="1"/>
    </xf>
    <xf numFmtId="0" fontId="27" fillId="4" borderId="2" xfId="0" applyFont="1" applyFill="1" applyBorder="1" applyAlignment="1" applyProtection="1">
      <alignment horizontal="center" vertical="center" wrapText="1"/>
    </xf>
    <xf numFmtId="0" fontId="27" fillId="6" borderId="2" xfId="0" applyFont="1" applyFill="1" applyBorder="1" applyAlignment="1" applyProtection="1">
      <alignment horizontal="left" vertical="center" wrapText="1" indent="1"/>
    </xf>
    <xf numFmtId="0" fontId="9" fillId="0" borderId="2" xfId="0" applyFont="1" applyFill="1" applyBorder="1" applyAlignment="1" applyProtection="1">
      <alignment horizontal="center" vertical="center" wrapText="1"/>
    </xf>
    <xf numFmtId="0" fontId="13" fillId="0" borderId="2" xfId="0" applyFont="1" applyBorder="1" applyAlignment="1" applyProtection="1">
      <alignment horizontal="center" vertical="center"/>
    </xf>
    <xf numFmtId="0" fontId="13" fillId="4" borderId="2" xfId="0" applyFont="1" applyFill="1" applyBorder="1" applyAlignment="1" applyProtection="1">
      <alignment horizontal="center" vertical="center"/>
    </xf>
    <xf numFmtId="1" fontId="15" fillId="4" borderId="2" xfId="0" applyNumberFormat="1" applyFont="1" applyFill="1" applyBorder="1" applyAlignment="1" applyProtection="1">
      <alignment horizontal="center" vertical="center"/>
    </xf>
    <xf numFmtId="0" fontId="13" fillId="0" borderId="0" xfId="0" applyFont="1" applyAlignment="1" applyProtection="1">
      <alignment vertical="center"/>
    </xf>
    <xf numFmtId="165" fontId="15" fillId="0" borderId="2" xfId="0" applyNumberFormat="1" applyFont="1" applyBorder="1" applyAlignment="1" applyProtection="1">
      <alignment horizontal="center" vertical="center"/>
    </xf>
    <xf numFmtId="165" fontId="26" fillId="5" borderId="2" xfId="0" applyNumberFormat="1" applyFont="1" applyFill="1" applyBorder="1" applyAlignment="1" applyProtection="1">
      <alignment horizontal="center" vertical="center"/>
    </xf>
    <xf numFmtId="165" fontId="15" fillId="4" borderId="2" xfId="0" applyNumberFormat="1" applyFont="1" applyFill="1" applyBorder="1" applyAlignment="1" applyProtection="1">
      <alignment horizontal="center" vertical="center"/>
    </xf>
    <xf numFmtId="165" fontId="14" fillId="4" borderId="2" xfId="0" applyNumberFormat="1" applyFont="1" applyFill="1" applyBorder="1" applyAlignment="1" applyProtection="1">
      <alignment horizontal="center" vertical="center"/>
    </xf>
    <xf numFmtId="165" fontId="27" fillId="6" borderId="2" xfId="0" applyNumberFormat="1" applyFont="1" applyFill="1" applyBorder="1" applyAlignment="1" applyProtection="1">
      <alignment horizontal="left" vertical="center" wrapText="1" indent="1"/>
    </xf>
    <xf numFmtId="0" fontId="47" fillId="0" borderId="0" xfId="0" applyFont="1" applyAlignment="1" applyProtection="1">
      <alignment horizontal="left" vertical="center"/>
    </xf>
    <xf numFmtId="0" fontId="13" fillId="0" borderId="0" xfId="6" applyFill="1" applyAlignment="1">
      <alignment vertical="center"/>
    </xf>
    <xf numFmtId="0" fontId="13" fillId="0" borderId="0" xfId="6" applyFill="1"/>
    <xf numFmtId="0" fontId="3" fillId="0" borderId="0" xfId="6" applyFont="1" applyFill="1" applyBorder="1" applyAlignment="1">
      <alignment horizontal="center" vertical="center" wrapText="1"/>
    </xf>
    <xf numFmtId="0" fontId="3" fillId="0" borderId="0" xfId="6" applyFont="1" applyFill="1" applyBorder="1" applyAlignment="1">
      <alignment horizontal="left" vertical="center" wrapText="1"/>
    </xf>
    <xf numFmtId="0" fontId="13" fillId="0" borderId="0" xfId="6" applyFont="1" applyFill="1" applyBorder="1" applyAlignment="1">
      <alignment horizontal="left" vertical="center" wrapText="1"/>
    </xf>
    <xf numFmtId="0" fontId="13" fillId="0" borderId="0" xfId="6" applyFill="1" applyBorder="1" applyAlignment="1">
      <alignment horizontal="left" vertical="center"/>
    </xf>
    <xf numFmtId="0" fontId="13" fillId="0" borderId="0" xfId="6" applyFill="1" applyBorder="1" applyAlignment="1">
      <alignment vertical="center"/>
    </xf>
    <xf numFmtId="0" fontId="13" fillId="0" borderId="0" xfId="6" applyFill="1" applyBorder="1" applyAlignment="1">
      <alignment horizontal="left" vertical="center" wrapText="1"/>
    </xf>
    <xf numFmtId="0" fontId="13" fillId="0" borderId="0" xfId="6" applyFill="1" applyBorder="1" applyAlignment="1" applyProtection="1">
      <alignment vertical="center" wrapText="1"/>
      <protection locked="0"/>
    </xf>
    <xf numFmtId="14" fontId="13" fillId="2" borderId="3" xfId="6" applyNumberFormat="1" applyFill="1" applyBorder="1" applyAlignment="1" applyProtection="1">
      <alignment horizontal="center" vertical="center" wrapText="1"/>
      <protection locked="0"/>
    </xf>
    <xf numFmtId="170" fontId="30" fillId="0" borderId="0" xfId="6" applyNumberFormat="1" applyFont="1" applyFill="1" applyBorder="1" applyAlignment="1" applyProtection="1">
      <alignment horizontal="center" vertical="center" wrapText="1"/>
    </xf>
    <xf numFmtId="0" fontId="13" fillId="0" borderId="0" xfId="6" applyFill="1" applyBorder="1" applyAlignment="1" applyProtection="1">
      <alignment horizontal="left" vertical="center" wrapText="1"/>
      <protection locked="0"/>
    </xf>
    <xf numFmtId="0" fontId="3" fillId="0" borderId="0" xfId="6" applyFont="1" applyFill="1" applyBorder="1" applyAlignment="1">
      <alignment horizontal="center" vertical="center"/>
    </xf>
    <xf numFmtId="0" fontId="3" fillId="0" borderId="0" xfId="6" applyFont="1" applyFill="1" applyBorder="1" applyAlignment="1">
      <alignment vertical="top" wrapText="1"/>
    </xf>
    <xf numFmtId="0" fontId="13" fillId="2" borderId="3" xfId="6" applyFill="1" applyBorder="1" applyAlignment="1">
      <alignment vertical="center" wrapText="1"/>
    </xf>
    <xf numFmtId="0" fontId="11" fillId="0" borderId="0" xfId="6" applyFont="1" applyFill="1" applyBorder="1" applyAlignment="1">
      <alignment horizontal="center" vertical="center" wrapText="1"/>
    </xf>
    <xf numFmtId="0" fontId="13" fillId="0" borderId="0" xfId="6" applyFill="1" applyBorder="1" applyAlignment="1">
      <alignment vertical="center" wrapText="1"/>
    </xf>
    <xf numFmtId="0" fontId="13" fillId="0" borderId="0" xfId="6" applyFill="1" applyBorder="1" applyAlignment="1">
      <alignment horizontal="center" vertical="center" wrapText="1"/>
    </xf>
    <xf numFmtId="0" fontId="13" fillId="0" borderId="0" xfId="6" applyFill="1" applyBorder="1" applyAlignment="1">
      <alignment horizontal="center" vertical="center"/>
    </xf>
    <xf numFmtId="0" fontId="3" fillId="0" borderId="0" xfId="6" applyFont="1" applyFill="1" applyBorder="1" applyAlignment="1">
      <alignment horizontal="center" vertical="top" wrapText="1"/>
    </xf>
    <xf numFmtId="0" fontId="3" fillId="0" borderId="0" xfId="6" applyFont="1" applyFill="1" applyAlignment="1">
      <alignment vertical="center"/>
    </xf>
    <xf numFmtId="0" fontId="13" fillId="0" borderId="0" xfId="6"/>
    <xf numFmtId="0" fontId="13" fillId="0" borderId="0" xfId="6" applyFont="1" applyAlignment="1" applyProtection="1">
      <alignment horizontal="center" vertical="center"/>
      <protection locked="0"/>
    </xf>
    <xf numFmtId="0" fontId="13" fillId="0" borderId="0" xfId="6" applyAlignment="1" applyProtection="1">
      <alignment horizontal="center" vertical="center"/>
      <protection locked="0"/>
    </xf>
    <xf numFmtId="0" fontId="13" fillId="0" borderId="0" xfId="6" applyAlignment="1" applyProtection="1">
      <alignment vertical="center"/>
      <protection locked="0"/>
    </xf>
    <xf numFmtId="0" fontId="3" fillId="0" borderId="0" xfId="6" applyFont="1" applyAlignment="1" applyProtection="1">
      <alignment horizontal="center" vertical="center" wrapText="1"/>
      <protection locked="0"/>
    </xf>
    <xf numFmtId="0" fontId="13" fillId="0" borderId="0" xfId="6" applyAlignment="1">
      <alignment horizontal="center" vertical="center" wrapText="1"/>
    </xf>
    <xf numFmtId="0" fontId="3" fillId="0" borderId="4" xfId="6" applyFont="1" applyFill="1" applyBorder="1" applyAlignment="1" applyProtection="1">
      <alignment horizontal="left" vertical="center" wrapText="1"/>
    </xf>
    <xf numFmtId="0" fontId="31" fillId="0" borderId="2" xfId="6" applyFont="1" applyBorder="1" applyAlignment="1" applyProtection="1">
      <alignment horizontal="center" vertical="center"/>
    </xf>
    <xf numFmtId="0" fontId="13" fillId="2" borderId="5" xfId="6" applyFont="1" applyFill="1" applyBorder="1" applyAlignment="1">
      <alignment horizontal="left" vertical="center" wrapText="1" indent="1"/>
    </xf>
    <xf numFmtId="0" fontId="31" fillId="0" borderId="6" xfId="6" applyFont="1" applyFill="1" applyBorder="1" applyAlignment="1" applyProtection="1">
      <alignment horizontal="center" vertical="center"/>
    </xf>
    <xf numFmtId="0" fontId="13" fillId="2" borderId="7" xfId="6" applyFont="1" applyFill="1" applyBorder="1" applyAlignment="1">
      <alignment horizontal="left" vertical="center" wrapText="1" indent="1"/>
    </xf>
    <xf numFmtId="0" fontId="31" fillId="0" borderId="2" xfId="6" applyFont="1" applyFill="1" applyBorder="1" applyAlignment="1" applyProtection="1">
      <alignment horizontal="center" vertical="center"/>
    </xf>
    <xf numFmtId="0" fontId="32" fillId="0" borderId="2" xfId="6" applyFont="1" applyFill="1" applyBorder="1" applyAlignment="1" applyProtection="1">
      <alignment horizontal="center" vertical="center"/>
    </xf>
    <xf numFmtId="0" fontId="3" fillId="0" borderId="0" xfId="0" applyFont="1" applyAlignment="1">
      <alignment vertical="center"/>
    </xf>
    <xf numFmtId="0" fontId="0" fillId="0" borderId="0" xfId="0" applyAlignment="1">
      <alignment vertical="center"/>
    </xf>
    <xf numFmtId="3" fontId="12" fillId="2" borderId="2" xfId="0" applyNumberFormat="1" applyFont="1" applyFill="1" applyBorder="1" applyAlignment="1">
      <alignment horizontal="center" vertical="center"/>
    </xf>
    <xf numFmtId="0" fontId="0" fillId="6" borderId="0" xfId="0" applyFill="1"/>
    <xf numFmtId="3" fontId="12" fillId="5" borderId="2" xfId="0" applyNumberFormat="1" applyFont="1" applyFill="1" applyBorder="1" applyAlignment="1">
      <alignment horizontal="center" vertical="center"/>
    </xf>
    <xf numFmtId="0" fontId="39" fillId="6" borderId="0" xfId="0" applyFont="1" applyFill="1" applyAlignment="1">
      <alignment horizontal="center" vertical="center"/>
    </xf>
    <xf numFmtId="0" fontId="3" fillId="0" borderId="0" xfId="0" applyFont="1" applyAlignment="1">
      <alignment horizontal="center" vertical="center"/>
    </xf>
    <xf numFmtId="3" fontId="44" fillId="0" borderId="2" xfId="0" applyNumberFormat="1" applyFont="1" applyBorder="1" applyAlignment="1">
      <alignment horizontal="center" vertical="center"/>
    </xf>
    <xf numFmtId="3" fontId="14" fillId="0" borderId="2" xfId="0" applyNumberFormat="1" applyFont="1" applyBorder="1" applyAlignment="1">
      <alignment horizontal="center" vertical="center"/>
    </xf>
    <xf numFmtId="3" fontId="15" fillId="0" borderId="0" xfId="0" applyNumberFormat="1" applyFont="1" applyAlignment="1">
      <alignment horizontal="center" vertical="center"/>
    </xf>
    <xf numFmtId="3" fontId="12" fillId="0" borderId="2" xfId="0" applyNumberFormat="1" applyFont="1" applyBorder="1" applyAlignment="1">
      <alignment horizontal="center" vertical="center"/>
    </xf>
    <xf numFmtId="0" fontId="0" fillId="0" borderId="0" xfId="0" applyFill="1" applyAlignment="1">
      <alignment vertical="center"/>
    </xf>
    <xf numFmtId="3" fontId="12" fillId="0" borderId="0" xfId="0" applyNumberFormat="1" applyFont="1" applyAlignment="1">
      <alignment horizontal="center" vertical="center"/>
    </xf>
    <xf numFmtId="3" fontId="15" fillId="0" borderId="2" xfId="0" applyNumberFormat="1" applyFont="1" applyBorder="1" applyAlignment="1">
      <alignment horizontal="center" vertical="center"/>
    </xf>
    <xf numFmtId="3" fontId="0" fillId="0" borderId="0" xfId="0" applyNumberFormat="1" applyBorder="1" applyAlignment="1">
      <alignment horizontal="center" vertical="center"/>
    </xf>
    <xf numFmtId="3" fontId="15" fillId="0" borderId="0" xfId="0" applyNumberFormat="1" applyFont="1" applyBorder="1" applyAlignment="1">
      <alignment horizontal="center" vertical="center"/>
    </xf>
    <xf numFmtId="3" fontId="12" fillId="0" borderId="0" xfId="0" applyNumberFormat="1" applyFont="1" applyBorder="1" applyAlignment="1">
      <alignment horizontal="center" vertical="center"/>
    </xf>
    <xf numFmtId="3" fontId="0" fillId="0" borderId="0" xfId="0" applyNumberFormat="1" applyFill="1" applyBorder="1" applyAlignment="1">
      <alignment horizontal="center" vertical="center"/>
    </xf>
    <xf numFmtId="3" fontId="0" fillId="6" borderId="0" xfId="0" applyNumberFormat="1" applyFill="1" applyAlignment="1">
      <alignment horizontal="center" vertical="center"/>
    </xf>
    <xf numFmtId="3" fontId="0" fillId="0" borderId="2" xfId="0" applyNumberFormat="1" applyBorder="1" applyAlignment="1">
      <alignment horizontal="center" vertical="center"/>
    </xf>
    <xf numFmtId="3" fontId="18" fillId="0" borderId="0" xfId="0" applyNumberFormat="1" applyFont="1" applyFill="1" applyAlignment="1">
      <alignment horizontal="center" vertical="center"/>
    </xf>
    <xf numFmtId="3" fontId="0" fillId="0" borderId="0" xfId="0" applyNumberFormat="1" applyFill="1" applyAlignment="1">
      <alignment horizontal="center" vertical="center"/>
    </xf>
    <xf numFmtId="3" fontId="12" fillId="0" borderId="2" xfId="0" applyNumberFormat="1" applyFont="1" applyFill="1" applyBorder="1" applyAlignment="1">
      <alignment horizontal="center" vertical="center"/>
    </xf>
    <xf numFmtId="3" fontId="18" fillId="0" borderId="0" xfId="0" applyNumberFormat="1" applyFont="1" applyFill="1" applyBorder="1" applyAlignment="1">
      <alignment horizontal="center" vertical="center"/>
    </xf>
    <xf numFmtId="3" fontId="35" fillId="0" borderId="0" xfId="0" applyNumberFormat="1" applyFont="1" applyFill="1" applyBorder="1" applyAlignment="1">
      <alignment horizontal="center" vertical="center"/>
    </xf>
    <xf numFmtId="0" fontId="0" fillId="0" borderId="0" xfId="0" applyFont="1"/>
    <xf numFmtId="0" fontId="48" fillId="0" borderId="0" xfId="0" applyFont="1" applyFill="1" applyAlignment="1" applyProtection="1">
      <alignment horizontal="left"/>
    </xf>
    <xf numFmtId="0" fontId="49" fillId="2" borderId="8" xfId="0" applyFont="1" applyFill="1" applyBorder="1" applyAlignment="1">
      <alignment horizontal="center" vertical="center" wrapText="1"/>
    </xf>
    <xf numFmtId="0" fontId="49" fillId="2" borderId="9" xfId="0" applyFont="1" applyFill="1" applyBorder="1" applyAlignment="1">
      <alignment horizontal="center" vertical="center" wrapText="1"/>
    </xf>
    <xf numFmtId="0" fontId="50" fillId="2" borderId="9" xfId="0" applyFont="1" applyFill="1" applyBorder="1" applyAlignment="1">
      <alignment horizontal="center" vertical="center" wrapText="1"/>
    </xf>
    <xf numFmtId="10" fontId="50" fillId="2" borderId="9" xfId="0" applyNumberFormat="1" applyFont="1" applyFill="1" applyBorder="1" applyAlignment="1">
      <alignment horizontal="center" vertical="center" wrapText="1"/>
    </xf>
    <xf numFmtId="0" fontId="50" fillId="2" borderId="10" xfId="0" applyFont="1" applyFill="1" applyBorder="1" applyAlignment="1">
      <alignment horizontal="center" vertical="center" wrapText="1"/>
    </xf>
    <xf numFmtId="0" fontId="51" fillId="0" borderId="0" xfId="0" applyFont="1"/>
    <xf numFmtId="0" fontId="49" fillId="2" borderId="11" xfId="0" applyFont="1" applyFill="1" applyBorder="1" applyAlignment="1">
      <alignment horizontal="center" vertical="center" wrapText="1"/>
    </xf>
    <xf numFmtId="0" fontId="50" fillId="2" borderId="11" xfId="0" applyFont="1" applyFill="1" applyBorder="1" applyAlignment="1">
      <alignment horizontal="center" vertical="center" wrapText="1"/>
    </xf>
    <xf numFmtId="3" fontId="51" fillId="0" borderId="2" xfId="0" applyNumberFormat="1" applyFont="1" applyFill="1" applyBorder="1" applyAlignment="1" applyProtection="1">
      <alignment horizontal="center" vertical="center" wrapText="1"/>
      <protection locked="0"/>
    </xf>
    <xf numFmtId="0" fontId="0" fillId="0" borderId="2" xfId="0" applyFont="1" applyBorder="1"/>
    <xf numFmtId="0" fontId="49" fillId="7" borderId="9" xfId="0" applyFont="1" applyFill="1" applyBorder="1" applyAlignment="1">
      <alignment horizontal="center" vertical="center" wrapText="1"/>
    </xf>
    <xf numFmtId="0" fontId="49" fillId="2" borderId="10" xfId="0" applyFont="1" applyFill="1" applyBorder="1" applyAlignment="1">
      <alignment horizontal="center" vertical="center" wrapText="1"/>
    </xf>
    <xf numFmtId="0" fontId="49" fillId="7" borderId="10" xfId="0" applyFont="1" applyFill="1" applyBorder="1" applyAlignment="1">
      <alignment horizontal="center" vertical="center" wrapText="1"/>
    </xf>
    <xf numFmtId="0" fontId="0" fillId="0" borderId="2" xfId="0" applyFont="1" applyBorder="1" applyAlignment="1">
      <alignment horizontal="center" vertical="center" wrapText="1"/>
    </xf>
    <xf numFmtId="0" fontId="55" fillId="0" borderId="0" xfId="0" applyFont="1" applyFill="1" applyAlignment="1" applyProtection="1">
      <alignment horizontal="left"/>
    </xf>
    <xf numFmtId="3" fontId="56" fillId="0" borderId="2" xfId="0" applyNumberFormat="1" applyFont="1" applyFill="1" applyBorder="1" applyAlignment="1" applyProtection="1">
      <alignment horizontal="center" vertical="center"/>
      <protection locked="0"/>
    </xf>
    <xf numFmtId="165" fontId="0" fillId="2" borderId="2" xfId="0" applyNumberFormat="1" applyFont="1" applyFill="1" applyBorder="1" applyAlignment="1">
      <alignment horizontal="center"/>
    </xf>
    <xf numFmtId="3" fontId="0" fillId="0" borderId="0" xfId="0" applyNumberFormat="1" applyFont="1"/>
    <xf numFmtId="0" fontId="49" fillId="2" borderId="2" xfId="0" applyFont="1" applyFill="1" applyBorder="1" applyAlignment="1">
      <alignment horizontal="left" indent="1"/>
    </xf>
    <xf numFmtId="0" fontId="56" fillId="2" borderId="2" xfId="0" applyFont="1" applyFill="1" applyBorder="1" applyAlignment="1">
      <alignment horizontal="left" indent="1"/>
    </xf>
    <xf numFmtId="0" fontId="57" fillId="0" borderId="0" xfId="0" applyFont="1" applyFill="1" applyAlignment="1" applyProtection="1">
      <alignment horizontal="left"/>
    </xf>
    <xf numFmtId="0" fontId="49" fillId="2" borderId="2" xfId="0" applyFont="1" applyFill="1" applyBorder="1" applyAlignment="1">
      <alignment horizontal="left" vertical="center" wrapText="1" indent="1"/>
    </xf>
    <xf numFmtId="0" fontId="56" fillId="2" borderId="2" xfId="0" applyFont="1" applyFill="1" applyBorder="1" applyAlignment="1">
      <alignment horizontal="left" vertical="center" wrapText="1" indent="1"/>
    </xf>
    <xf numFmtId="0" fontId="49" fillId="8" borderId="2" xfId="0" applyFont="1" applyFill="1" applyBorder="1" applyAlignment="1">
      <alignment horizontal="center" vertical="center" wrapText="1"/>
    </xf>
    <xf numFmtId="3" fontId="49" fillId="2" borderId="2" xfId="0" applyNumberFormat="1" applyFont="1" applyFill="1" applyBorder="1" applyAlignment="1">
      <alignment horizontal="center" vertical="center"/>
    </xf>
    <xf numFmtId="3" fontId="49" fillId="4" borderId="2" xfId="0" applyNumberFormat="1" applyFont="1" applyFill="1" applyBorder="1" applyAlignment="1">
      <alignment horizontal="center" vertical="center"/>
    </xf>
    <xf numFmtId="0" fontId="0" fillId="4" borderId="2" xfId="0" applyFont="1" applyFill="1" applyBorder="1" applyAlignment="1">
      <alignment horizontal="center" vertical="center"/>
    </xf>
    <xf numFmtId="0" fontId="0" fillId="2" borderId="4" xfId="0" applyFont="1" applyFill="1" applyBorder="1" applyAlignment="1">
      <alignment horizontal="left" vertical="top" indent="3"/>
    </xf>
    <xf numFmtId="3" fontId="0" fillId="2" borderId="2" xfId="0" applyNumberFormat="1" applyFont="1" applyFill="1" applyBorder="1" applyAlignment="1">
      <alignment horizontal="center"/>
    </xf>
    <xf numFmtId="166" fontId="0" fillId="2" borderId="5" xfId="0" applyNumberFormat="1" applyFont="1" applyFill="1" applyBorder="1" applyAlignment="1">
      <alignment horizontal="center"/>
    </xf>
    <xf numFmtId="3" fontId="0" fillId="0" borderId="0" xfId="0" applyNumberFormat="1" applyFont="1" applyAlignment="1">
      <alignment horizontal="center"/>
    </xf>
    <xf numFmtId="0" fontId="49" fillId="2" borderId="4" xfId="0" applyFont="1" applyFill="1" applyBorder="1" applyAlignment="1">
      <alignment horizontal="left" indent="1"/>
    </xf>
    <xf numFmtId="3" fontId="49" fillId="2" borderId="2" xfId="0" applyNumberFormat="1" applyFont="1" applyFill="1" applyBorder="1" applyAlignment="1">
      <alignment horizontal="center"/>
    </xf>
    <xf numFmtId="0" fontId="49" fillId="4" borderId="12" xfId="0" applyFont="1" applyFill="1" applyBorder="1" applyAlignment="1">
      <alignment horizontal="center" vertical="center" wrapText="1"/>
    </xf>
    <xf numFmtId="0" fontId="49" fillId="8" borderId="4" xfId="0" applyFont="1" applyFill="1" applyBorder="1" applyAlignment="1">
      <alignment horizontal="center" vertical="center" wrapText="1"/>
    </xf>
    <xf numFmtId="0" fontId="49" fillId="8" borderId="5" xfId="0" applyFont="1" applyFill="1" applyBorder="1" applyAlignment="1">
      <alignment horizontal="center" vertical="center" wrapText="1"/>
    </xf>
    <xf numFmtId="0" fontId="49" fillId="2" borderId="4" xfId="0" applyFont="1" applyFill="1" applyBorder="1"/>
    <xf numFmtId="3" fontId="49" fillId="2" borderId="5" xfId="0" applyNumberFormat="1" applyFont="1" applyFill="1" applyBorder="1" applyAlignment="1">
      <alignment horizontal="center"/>
    </xf>
    <xf numFmtId="0" fontId="0" fillId="0" borderId="5" xfId="0" applyFont="1" applyBorder="1"/>
    <xf numFmtId="0" fontId="0" fillId="0" borderId="0" xfId="0" applyFont="1" applyProtection="1"/>
    <xf numFmtId="0" fontId="0" fillId="0" borderId="0" xfId="0" applyFont="1" applyFill="1" applyBorder="1" applyProtection="1"/>
    <xf numFmtId="0" fontId="58" fillId="9" borderId="0" xfId="0" applyFont="1" applyFill="1" applyBorder="1" applyAlignment="1" applyProtection="1">
      <alignment horizontal="center"/>
    </xf>
    <xf numFmtId="3" fontId="56" fillId="0" borderId="2" xfId="0" applyNumberFormat="1" applyFont="1" applyBorder="1" applyAlignment="1" applyProtection="1">
      <alignment horizontal="center" vertical="center"/>
      <protection locked="0"/>
    </xf>
    <xf numFmtId="0" fontId="56" fillId="2" borderId="4" xfId="0" applyFont="1" applyFill="1" applyBorder="1" applyAlignment="1">
      <alignment horizontal="left" vertical="center" wrapText="1" indent="1"/>
    </xf>
    <xf numFmtId="0" fontId="57" fillId="7" borderId="4" xfId="0" applyFont="1" applyFill="1" applyBorder="1" applyAlignment="1" applyProtection="1">
      <alignment horizontal="left" vertical="center" wrapText="1" indent="1"/>
    </xf>
    <xf numFmtId="0" fontId="57" fillId="2" borderId="4" xfId="0" applyFont="1" applyFill="1" applyBorder="1" applyAlignment="1" applyProtection="1">
      <alignment horizontal="left" vertical="center" wrapText="1" indent="1"/>
    </xf>
    <xf numFmtId="168" fontId="57" fillId="0" borderId="2" xfId="0" applyNumberFormat="1" applyFont="1" applyFill="1" applyBorder="1" applyAlignment="1" applyProtection="1">
      <alignment horizontal="center" vertical="center" wrapText="1"/>
      <protection locked="0"/>
    </xf>
    <xf numFmtId="165" fontId="57" fillId="2" borderId="2" xfId="0" applyNumberFormat="1" applyFont="1" applyFill="1" applyBorder="1" applyAlignment="1" applyProtection="1">
      <alignment horizontal="center" vertical="center" wrapText="1"/>
    </xf>
    <xf numFmtId="168" fontId="57" fillId="2" borderId="2" xfId="0" applyNumberFormat="1" applyFont="1" applyFill="1" applyBorder="1" applyAlignment="1" applyProtection="1">
      <alignment horizontal="center" vertical="center" wrapText="1"/>
    </xf>
    <xf numFmtId="0" fontId="55" fillId="7" borderId="4" xfId="0" applyFont="1" applyFill="1" applyBorder="1" applyAlignment="1" applyProtection="1">
      <alignment horizontal="left" vertical="center" wrapText="1" indent="1"/>
    </xf>
    <xf numFmtId="168" fontId="57" fillId="7" borderId="2" xfId="0" applyNumberFormat="1" applyFont="1" applyFill="1" applyBorder="1" applyAlignment="1" applyProtection="1">
      <alignment horizontal="center" vertical="center" wrapText="1"/>
    </xf>
    <xf numFmtId="0" fontId="49" fillId="0" borderId="0" xfId="0" applyFont="1" applyFill="1" applyAlignment="1" applyProtection="1">
      <alignment horizontal="left"/>
    </xf>
    <xf numFmtId="165" fontId="56" fillId="0" borderId="2" xfId="0" applyNumberFormat="1" applyFont="1" applyFill="1" applyBorder="1" applyAlignment="1" applyProtection="1">
      <alignment horizontal="center"/>
      <protection locked="0"/>
    </xf>
    <xf numFmtId="165" fontId="56" fillId="0" borderId="5" xfId="0" applyNumberFormat="1" applyFont="1" applyFill="1" applyBorder="1" applyAlignment="1" applyProtection="1">
      <alignment horizontal="center"/>
      <protection locked="0"/>
    </xf>
    <xf numFmtId="0" fontId="49" fillId="0" borderId="11" xfId="0" applyFont="1" applyBorder="1" applyAlignment="1">
      <alignment horizontal="center" vertical="center" wrapText="1"/>
    </xf>
    <xf numFmtId="0" fontId="56" fillId="0" borderId="5" xfId="0" applyFont="1" applyBorder="1" applyAlignment="1" applyProtection="1">
      <alignment horizontal="center"/>
      <protection locked="0"/>
    </xf>
    <xf numFmtId="0" fontId="49" fillId="8" borderId="2" xfId="0" applyFont="1" applyFill="1" applyBorder="1" applyAlignment="1" applyProtection="1">
      <alignment horizontal="center" vertical="center" wrapText="1"/>
    </xf>
    <xf numFmtId="0" fontId="49" fillId="8" borderId="5" xfId="0" applyFont="1" applyFill="1" applyBorder="1" applyAlignment="1" applyProtection="1">
      <alignment horizontal="center" vertical="center" wrapText="1"/>
    </xf>
    <xf numFmtId="3" fontId="56" fillId="2" borderId="2" xfId="0" applyNumberFormat="1" applyFont="1" applyFill="1" applyBorder="1" applyAlignment="1" applyProtection="1">
      <alignment horizontal="center" vertical="center" wrapText="1"/>
    </xf>
    <xf numFmtId="0" fontId="49" fillId="8" borderId="13" xfId="0" applyFont="1" applyFill="1" applyBorder="1" applyAlignment="1" applyProtection="1">
      <alignment horizontal="center" vertical="center" wrapText="1"/>
    </xf>
    <xf numFmtId="0" fontId="49" fillId="8" borderId="0" xfId="0" applyFont="1" applyFill="1" applyBorder="1" applyAlignment="1" applyProtection="1">
      <alignment horizontal="center" vertical="center" wrapText="1"/>
    </xf>
    <xf numFmtId="0" fontId="49" fillId="8" borderId="4" xfId="0" applyFont="1" applyFill="1" applyBorder="1" applyAlignment="1" applyProtection="1">
      <alignment horizontal="left" vertical="center"/>
    </xf>
    <xf numFmtId="0" fontId="49" fillId="4" borderId="4" xfId="0" applyFont="1" applyFill="1" applyBorder="1" applyAlignment="1" applyProtection="1">
      <alignment horizontal="left" vertical="center"/>
    </xf>
    <xf numFmtId="0" fontId="49" fillId="8" borderId="12" xfId="0" applyFont="1" applyFill="1" applyBorder="1" applyAlignment="1" applyProtection="1">
      <alignment horizontal="left" vertical="center"/>
    </xf>
    <xf numFmtId="0" fontId="58" fillId="0" borderId="0" xfId="0" applyFont="1" applyFill="1" applyAlignment="1" applyProtection="1">
      <alignment horizontal="left"/>
    </xf>
    <xf numFmtId="166" fontId="0" fillId="2" borderId="2" xfId="0" applyNumberFormat="1" applyFont="1" applyFill="1" applyBorder="1" applyAlignment="1" applyProtection="1">
      <alignment horizontal="center" vertical="center"/>
    </xf>
    <xf numFmtId="0" fontId="64" fillId="2" borderId="0" xfId="0" applyFont="1" applyFill="1" applyProtection="1"/>
    <xf numFmtId="0" fontId="64" fillId="0" borderId="0" xfId="0" applyFont="1" applyFill="1" applyProtection="1"/>
    <xf numFmtId="0" fontId="58" fillId="2" borderId="14" xfId="0" applyFont="1" applyFill="1" applyBorder="1" applyAlignment="1" applyProtection="1">
      <alignment horizontal="center" vertical="center" wrapText="1"/>
    </xf>
    <xf numFmtId="0" fontId="58" fillId="2" borderId="15" xfId="0" applyFont="1" applyFill="1" applyBorder="1" applyAlignment="1" applyProtection="1">
      <alignment horizontal="center" vertical="center" wrapText="1"/>
    </xf>
    <xf numFmtId="0" fontId="58" fillId="2" borderId="16" xfId="0" applyFont="1" applyFill="1" applyBorder="1" applyAlignment="1" applyProtection="1">
      <alignment horizontal="center" vertical="center" wrapText="1"/>
    </xf>
    <xf numFmtId="0" fontId="58" fillId="2" borderId="17" xfId="0" applyFont="1" applyFill="1" applyBorder="1" applyAlignment="1" applyProtection="1">
      <alignment horizontal="center" vertical="center" wrapText="1"/>
    </xf>
    <xf numFmtId="3" fontId="57" fillId="2" borderId="11" xfId="0" applyNumberFormat="1" applyFont="1" applyFill="1" applyBorder="1" applyAlignment="1" applyProtection="1">
      <alignment horizontal="center" vertical="center" wrapText="1"/>
    </xf>
    <xf numFmtId="0" fontId="61" fillId="0" borderId="18" xfId="0" applyFont="1" applyFill="1" applyBorder="1" applyAlignment="1" applyProtection="1">
      <alignment horizontal="center" vertical="center" wrapText="1"/>
      <protection locked="0"/>
    </xf>
    <xf numFmtId="3" fontId="57" fillId="2" borderId="2" xfId="0" applyNumberFormat="1" applyFont="1" applyFill="1" applyBorder="1" applyAlignment="1" applyProtection="1">
      <alignment horizontal="center" vertical="center" wrapText="1"/>
    </xf>
    <xf numFmtId="0" fontId="58" fillId="0" borderId="5" xfId="0" applyFont="1" applyFill="1" applyBorder="1" applyAlignment="1" applyProtection="1">
      <alignment horizontal="center" vertical="center" wrapText="1"/>
      <protection locked="0"/>
    </xf>
    <xf numFmtId="0" fontId="57" fillId="0" borderId="5" xfId="0" applyFont="1" applyFill="1" applyBorder="1" applyAlignment="1" applyProtection="1">
      <alignment horizontal="center" vertical="center" wrapText="1"/>
      <protection locked="0"/>
    </xf>
    <xf numFmtId="0" fontId="57" fillId="0" borderId="19" xfId="0" applyFont="1" applyFill="1" applyBorder="1" applyAlignment="1" applyProtection="1">
      <alignment horizontal="center" vertical="center" wrapText="1"/>
      <protection locked="0"/>
    </xf>
    <xf numFmtId="165" fontId="57" fillId="2" borderId="2" xfId="7" applyNumberFormat="1" applyFont="1" applyFill="1" applyBorder="1" applyAlignment="1" applyProtection="1">
      <alignment horizontal="center" vertical="center" wrapText="1"/>
    </xf>
    <xf numFmtId="0" fontId="57" fillId="7" borderId="12" xfId="0" applyFont="1" applyFill="1" applyBorder="1" applyAlignment="1" applyProtection="1">
      <alignment vertical="center" wrapText="1"/>
    </xf>
    <xf numFmtId="0" fontId="57" fillId="2" borderId="4" xfId="0" applyFont="1" applyFill="1" applyBorder="1" applyAlignment="1" applyProtection="1">
      <alignment vertical="center" wrapText="1"/>
    </xf>
    <xf numFmtId="0" fontId="57" fillId="7" borderId="4" xfId="0" applyFont="1" applyFill="1" applyBorder="1" applyAlignment="1" applyProtection="1">
      <alignment vertical="center" wrapText="1"/>
    </xf>
    <xf numFmtId="0" fontId="55" fillId="7" borderId="4" xfId="0" applyFont="1" applyFill="1" applyBorder="1" applyAlignment="1" applyProtection="1">
      <alignment vertical="center" wrapText="1"/>
    </xf>
    <xf numFmtId="0" fontId="57" fillId="2" borderId="20" xfId="0" applyFont="1" applyFill="1" applyBorder="1" applyAlignment="1" applyProtection="1">
      <alignment vertical="center" wrapText="1"/>
    </xf>
    <xf numFmtId="168" fontId="57" fillId="0" borderId="5" xfId="0" applyNumberFormat="1" applyFont="1" applyFill="1" applyBorder="1" applyAlignment="1" applyProtection="1">
      <alignment horizontal="center" vertical="center" wrapText="1"/>
      <protection locked="0"/>
    </xf>
    <xf numFmtId="165" fontId="57" fillId="2" borderId="5" xfId="0" applyNumberFormat="1" applyFont="1" applyFill="1" applyBorder="1" applyAlignment="1" applyProtection="1">
      <alignment horizontal="center" vertical="center" wrapText="1"/>
    </xf>
    <xf numFmtId="9" fontId="57" fillId="0" borderId="5" xfId="0" applyNumberFormat="1" applyFont="1" applyFill="1" applyBorder="1" applyAlignment="1" applyProtection="1">
      <alignment horizontal="center" vertical="center" wrapText="1"/>
      <protection locked="0"/>
    </xf>
    <xf numFmtId="165" fontId="57" fillId="0" borderId="5" xfId="0" applyNumberFormat="1" applyFont="1" applyFill="1" applyBorder="1" applyAlignment="1" applyProtection="1">
      <alignment horizontal="center" vertical="center" wrapText="1"/>
      <protection locked="0"/>
    </xf>
    <xf numFmtId="3" fontId="57" fillId="0" borderId="5" xfId="0" applyNumberFormat="1" applyFont="1" applyFill="1" applyBorder="1" applyAlignment="1" applyProtection="1">
      <alignment horizontal="center" vertical="center" wrapText="1"/>
      <protection locked="0"/>
    </xf>
    <xf numFmtId="3" fontId="57" fillId="2" borderId="5" xfId="0" applyNumberFormat="1" applyFont="1" applyFill="1" applyBorder="1" applyAlignment="1" applyProtection="1">
      <alignment horizontal="center" vertical="center" wrapText="1"/>
    </xf>
    <xf numFmtId="165" fontId="57" fillId="2" borderId="6" xfId="7" applyNumberFormat="1" applyFont="1" applyFill="1" applyBorder="1" applyAlignment="1" applyProtection="1">
      <alignment horizontal="center" vertical="center" wrapText="1"/>
    </xf>
    <xf numFmtId="165" fontId="57" fillId="0" borderId="7" xfId="0" applyNumberFormat="1" applyFont="1" applyFill="1" applyBorder="1" applyAlignment="1" applyProtection="1">
      <alignment horizontal="center" vertical="center" wrapText="1"/>
      <protection locked="0"/>
    </xf>
    <xf numFmtId="0" fontId="13" fillId="0" borderId="0" xfId="4" applyAlignment="1">
      <alignment horizontal="justify" vertical="center" wrapText="1"/>
    </xf>
    <xf numFmtId="0" fontId="22" fillId="0" borderId="0" xfId="4" applyFont="1" applyAlignment="1">
      <alignment horizontal="center" vertical="center" wrapText="1"/>
    </xf>
    <xf numFmtId="0" fontId="13" fillId="0" borderId="0" xfId="4" applyAlignment="1">
      <alignment vertical="center" wrapText="1"/>
    </xf>
    <xf numFmtId="0" fontId="11" fillId="10" borderId="2" xfId="4" applyFont="1" applyFill="1" applyBorder="1" applyAlignment="1" applyProtection="1">
      <alignment horizontal="center" vertical="center" wrapText="1"/>
    </xf>
    <xf numFmtId="0" fontId="3" fillId="2" borderId="4" xfId="4" applyFont="1" applyFill="1" applyBorder="1" applyAlignment="1">
      <alignment horizontal="center" vertical="center" wrapText="1"/>
    </xf>
    <xf numFmtId="0" fontId="13" fillId="2" borderId="2" xfId="4" applyFill="1" applyBorder="1" applyAlignment="1">
      <alignment vertical="center" wrapText="1"/>
    </xf>
    <xf numFmtId="0" fontId="13" fillId="0" borderId="0" xfId="4" applyFill="1" applyAlignment="1">
      <alignment vertical="center" wrapText="1"/>
    </xf>
    <xf numFmtId="0" fontId="3" fillId="11" borderId="4" xfId="4" applyFont="1" applyFill="1" applyBorder="1" applyAlignment="1">
      <alignment horizontal="center" vertical="center" wrapText="1"/>
    </xf>
    <xf numFmtId="9" fontId="3" fillId="11" borderId="2" xfId="9" applyFont="1" applyFill="1" applyBorder="1" applyAlignment="1">
      <alignment horizontal="center" vertical="center" wrapText="1"/>
    </xf>
    <xf numFmtId="0" fontId="3" fillId="12" borderId="4" xfId="4" applyFont="1" applyFill="1" applyBorder="1" applyAlignment="1">
      <alignment horizontal="center" vertical="center"/>
    </xf>
    <xf numFmtId="9" fontId="3" fillId="0" borderId="2" xfId="9" applyFont="1" applyFill="1" applyBorder="1" applyAlignment="1">
      <alignment horizontal="center" vertical="center" wrapText="1"/>
    </xf>
    <xf numFmtId="9" fontId="3" fillId="2" borderId="2" xfId="9" applyFont="1" applyFill="1" applyBorder="1" applyAlignment="1">
      <alignment horizontal="center" vertical="center" wrapText="1"/>
    </xf>
    <xf numFmtId="0" fontId="3" fillId="11" borderId="21" xfId="4" applyFont="1" applyFill="1" applyBorder="1" applyAlignment="1">
      <alignment horizontal="center" vertical="center" wrapText="1"/>
    </xf>
    <xf numFmtId="0" fontId="3" fillId="12" borderId="20" xfId="4" applyFont="1" applyFill="1" applyBorder="1" applyAlignment="1">
      <alignment horizontal="center" vertical="center"/>
    </xf>
    <xf numFmtId="9" fontId="3" fillId="0" borderId="6" xfId="9" applyFont="1" applyFill="1" applyBorder="1" applyAlignment="1">
      <alignment horizontal="center" vertical="center" wrapText="1"/>
    </xf>
    <xf numFmtId="0" fontId="13" fillId="0" borderId="2" xfId="0" applyFont="1" applyFill="1" applyBorder="1" applyAlignment="1" applyProtection="1">
      <alignment horizontal="left" vertical="center" indent="1"/>
    </xf>
    <xf numFmtId="0" fontId="3" fillId="0" borderId="0" xfId="6" applyFont="1" applyFill="1" applyBorder="1" applyAlignment="1">
      <alignment vertical="center"/>
    </xf>
    <xf numFmtId="0" fontId="3" fillId="2" borderId="10" xfId="6" applyFont="1" applyFill="1" applyBorder="1" applyAlignment="1">
      <alignment horizontal="left" vertical="center" wrapText="1" indent="2"/>
    </xf>
    <xf numFmtId="3" fontId="0" fillId="2" borderId="5" xfId="0" applyNumberFormat="1" applyFont="1" applyFill="1" applyBorder="1" applyAlignment="1">
      <alignment horizontal="center"/>
    </xf>
    <xf numFmtId="10" fontId="49" fillId="8" borderId="22" xfId="0" applyNumberFormat="1" applyFont="1" applyFill="1" applyBorder="1" applyAlignment="1">
      <alignment horizontal="center" vertical="center"/>
    </xf>
    <xf numFmtId="10" fontId="49" fillId="8" borderId="23" xfId="0" applyNumberFormat="1" applyFont="1" applyFill="1" applyBorder="1" applyAlignment="1">
      <alignment horizontal="center" vertical="center"/>
    </xf>
    <xf numFmtId="10" fontId="49" fillId="8" borderId="24" xfId="0" applyNumberFormat="1" applyFont="1" applyFill="1" applyBorder="1" applyAlignment="1">
      <alignment horizontal="center" vertical="center"/>
    </xf>
    <xf numFmtId="3" fontId="56" fillId="2" borderId="25" xfId="0" applyNumberFormat="1" applyFont="1" applyFill="1" applyBorder="1" applyAlignment="1">
      <alignment horizontal="center" vertical="center"/>
    </xf>
    <xf numFmtId="0" fontId="49" fillId="4" borderId="26" xfId="0" applyFont="1" applyFill="1" applyBorder="1" applyAlignment="1">
      <alignment horizontal="center" vertical="center" wrapText="1"/>
    </xf>
    <xf numFmtId="0" fontId="49" fillId="4" borderId="27" xfId="0" applyFont="1" applyFill="1" applyBorder="1" applyAlignment="1">
      <alignment horizontal="center" vertical="center" wrapText="1"/>
    </xf>
    <xf numFmtId="0" fontId="49" fillId="4" borderId="28" xfId="0" applyFont="1" applyFill="1" applyBorder="1" applyAlignment="1">
      <alignment horizontal="center" vertical="center" wrapText="1"/>
    </xf>
    <xf numFmtId="0" fontId="49" fillId="13" borderId="29" xfId="0" applyFont="1" applyFill="1" applyBorder="1" applyAlignment="1">
      <alignment horizontal="center" vertical="center" wrapText="1"/>
    </xf>
    <xf numFmtId="0" fontId="49" fillId="13" borderId="27" xfId="0" applyFont="1" applyFill="1" applyBorder="1" applyAlignment="1">
      <alignment horizontal="center" vertical="center" wrapText="1"/>
    </xf>
    <xf numFmtId="0" fontId="49" fillId="13" borderId="28" xfId="0" applyFont="1" applyFill="1" applyBorder="1" applyAlignment="1">
      <alignment horizontal="center" vertical="center" wrapText="1"/>
    </xf>
    <xf numFmtId="0" fontId="5" fillId="14" borderId="30" xfId="0" applyFont="1" applyFill="1" applyBorder="1" applyAlignment="1" applyProtection="1">
      <alignment horizontal="left" vertical="center" wrapText="1" indent="1"/>
    </xf>
    <xf numFmtId="0" fontId="5" fillId="14" borderId="31" xfId="0" applyFont="1" applyFill="1" applyBorder="1" applyAlignment="1" applyProtection="1">
      <alignment horizontal="left" vertical="center" wrapText="1" indent="1"/>
    </xf>
    <xf numFmtId="0" fontId="3" fillId="0" borderId="0" xfId="0" applyFont="1" applyFill="1" applyBorder="1" applyAlignment="1" applyProtection="1">
      <alignment horizontal="left"/>
    </xf>
    <xf numFmtId="0" fontId="3" fillId="2" borderId="32" xfId="0" applyFont="1" applyFill="1" applyBorder="1" applyAlignment="1" applyProtection="1">
      <alignment horizontal="left" vertical="center" wrapText="1" indent="1"/>
    </xf>
    <xf numFmtId="0" fontId="45" fillId="2" borderId="33" xfId="0" applyFont="1" applyFill="1" applyBorder="1" applyAlignment="1" applyProtection="1">
      <alignment horizontal="center" vertical="center" wrapText="1"/>
    </xf>
    <xf numFmtId="0" fontId="45" fillId="2" borderId="34" xfId="0" applyFont="1" applyFill="1" applyBorder="1" applyAlignment="1" applyProtection="1">
      <alignment horizontal="center" vertical="center" wrapText="1"/>
    </xf>
    <xf numFmtId="0" fontId="45" fillId="2" borderId="35" xfId="0" applyFont="1" applyFill="1" applyBorder="1" applyAlignment="1" applyProtection="1">
      <alignment horizontal="center" vertical="center" wrapText="1"/>
    </xf>
    <xf numFmtId="0" fontId="45" fillId="2" borderId="36" xfId="0" applyFont="1" applyFill="1" applyBorder="1" applyAlignment="1" applyProtection="1">
      <alignment horizontal="center" vertical="center" wrapText="1"/>
    </xf>
    <xf numFmtId="0" fontId="45" fillId="2" borderId="37" xfId="0" applyFont="1" applyFill="1" applyBorder="1" applyAlignment="1" applyProtection="1">
      <alignment horizontal="center" vertical="center" wrapText="1"/>
    </xf>
    <xf numFmtId="0" fontId="45" fillId="2" borderId="26" xfId="0" applyFont="1" applyFill="1" applyBorder="1" applyAlignment="1" applyProtection="1">
      <alignment horizontal="center" vertical="center" wrapText="1"/>
    </xf>
    <xf numFmtId="0" fontId="45" fillId="2" borderId="29" xfId="0" applyFont="1" applyFill="1" applyBorder="1" applyAlignment="1" applyProtection="1">
      <alignment horizontal="center" vertical="center" wrapText="1"/>
    </xf>
    <xf numFmtId="0" fontId="45" fillId="2" borderId="27" xfId="0" applyFont="1" applyFill="1" applyBorder="1" applyAlignment="1" applyProtection="1">
      <alignment horizontal="center" vertical="center" wrapText="1"/>
    </xf>
    <xf numFmtId="0" fontId="45" fillId="2" borderId="38" xfId="0" applyFont="1" applyFill="1" applyBorder="1" applyAlignment="1" applyProtection="1">
      <alignment horizontal="center" vertical="center" wrapText="1"/>
    </xf>
    <xf numFmtId="0" fontId="45" fillId="2" borderId="28" xfId="0" applyFont="1" applyFill="1" applyBorder="1" applyAlignment="1" applyProtection="1">
      <alignment horizontal="center" vertical="center" wrapText="1"/>
    </xf>
    <xf numFmtId="0" fontId="0" fillId="2" borderId="4" xfId="0" applyFont="1" applyFill="1" applyBorder="1" applyAlignment="1" applyProtection="1">
      <alignment horizontal="left" vertical="center" indent="1"/>
    </xf>
    <xf numFmtId="3" fontId="0" fillId="2" borderId="2" xfId="0" applyNumberFormat="1" applyFont="1" applyFill="1" applyBorder="1" applyAlignment="1" applyProtection="1">
      <alignment horizontal="center" vertical="center" wrapText="1"/>
    </xf>
    <xf numFmtId="0" fontId="49" fillId="0" borderId="12" xfId="0" applyFont="1" applyBorder="1" applyAlignment="1" applyProtection="1">
      <alignment horizontal="center" vertical="center" wrapText="1"/>
    </xf>
    <xf numFmtId="3" fontId="0" fillId="0" borderId="2" xfId="0" applyNumberFormat="1" applyFont="1" applyBorder="1" applyAlignment="1" applyProtection="1">
      <alignment horizontal="center" vertical="center" wrapText="1"/>
      <protection locked="0"/>
    </xf>
    <xf numFmtId="0" fontId="60" fillId="0" borderId="11" xfId="0" applyFont="1" applyBorder="1" applyAlignment="1">
      <alignment horizontal="center" vertical="center" wrapText="1"/>
    </xf>
    <xf numFmtId="0" fontId="0" fillId="4" borderId="5" xfId="0" applyFont="1" applyFill="1" applyBorder="1" applyAlignment="1">
      <alignment horizontal="center" vertical="center"/>
    </xf>
    <xf numFmtId="0" fontId="49" fillId="4" borderId="4" xfId="0" applyFont="1" applyFill="1" applyBorder="1" applyAlignment="1" applyProtection="1">
      <alignment vertical="center" wrapText="1"/>
    </xf>
    <xf numFmtId="166" fontId="0" fillId="4" borderId="2" xfId="0" applyNumberFormat="1" applyFont="1" applyFill="1" applyBorder="1" applyAlignment="1" applyProtection="1">
      <alignment horizontal="center" vertical="center"/>
    </xf>
    <xf numFmtId="165" fontId="15" fillId="5" borderId="2" xfId="0" applyNumberFormat="1" applyFont="1" applyFill="1" applyBorder="1" applyAlignment="1" applyProtection="1">
      <alignment horizontal="center" vertical="center"/>
    </xf>
    <xf numFmtId="0" fontId="3" fillId="4" borderId="2" xfId="0" applyFont="1" applyFill="1" applyBorder="1" applyAlignment="1" applyProtection="1">
      <alignment horizontal="left" vertical="center" indent="1"/>
    </xf>
    <xf numFmtId="0" fontId="3" fillId="5" borderId="2" xfId="0" applyFont="1" applyFill="1" applyBorder="1" applyAlignment="1" applyProtection="1">
      <alignment horizontal="left" vertical="center" indent="1"/>
    </xf>
    <xf numFmtId="0" fontId="9" fillId="0" borderId="2" xfId="0" applyFont="1" applyFill="1" applyBorder="1" applyAlignment="1" applyProtection="1">
      <alignment horizontal="left" vertical="center" wrapText="1" indent="1"/>
    </xf>
    <xf numFmtId="0" fontId="27" fillId="5" borderId="2" xfId="0" applyFont="1" applyFill="1" applyBorder="1" applyAlignment="1" applyProtection="1">
      <alignment horizontal="left" vertical="center" wrapText="1" indent="1"/>
    </xf>
    <xf numFmtId="0" fontId="27" fillId="4" borderId="2" xfId="0" applyFont="1" applyFill="1" applyBorder="1" applyAlignment="1" applyProtection="1">
      <alignment horizontal="left" vertical="center" wrapText="1" indent="1"/>
    </xf>
    <xf numFmtId="0" fontId="3" fillId="4" borderId="2" xfId="0" applyFont="1" applyFill="1" applyBorder="1" applyAlignment="1" applyProtection="1">
      <alignment horizontal="left" vertical="center" wrapText="1" indent="1"/>
    </xf>
    <xf numFmtId="0" fontId="13" fillId="0" borderId="2" xfId="0" applyFont="1" applyFill="1" applyBorder="1" applyAlignment="1" applyProtection="1">
      <alignment horizontal="left" vertical="center" wrapText="1" indent="1"/>
    </xf>
    <xf numFmtId="9" fontId="15" fillId="4" borderId="2" xfId="0" applyNumberFormat="1" applyFont="1" applyFill="1" applyBorder="1" applyAlignment="1" applyProtection="1">
      <alignment horizontal="center" vertical="center"/>
    </xf>
    <xf numFmtId="0" fontId="15" fillId="0" borderId="2" xfId="0" applyFont="1" applyFill="1" applyBorder="1" applyAlignment="1" applyProtection="1">
      <alignment horizontal="left" vertical="center" wrapText="1" indent="1"/>
    </xf>
    <xf numFmtId="164" fontId="17" fillId="4" borderId="2" xfId="3" applyFont="1" applyFill="1" applyBorder="1" applyAlignment="1" applyProtection="1">
      <alignment horizontal="center" vertical="center"/>
    </xf>
    <xf numFmtId="164" fontId="17" fillId="2" borderId="2" xfId="3" applyFont="1" applyFill="1" applyBorder="1" applyAlignment="1" applyProtection="1">
      <alignment horizontal="center" vertical="center"/>
    </xf>
    <xf numFmtId="164" fontId="17" fillId="5" borderId="2" xfId="3" applyFont="1" applyFill="1" applyBorder="1" applyAlignment="1" applyProtection="1">
      <alignment horizontal="center" vertical="center"/>
    </xf>
    <xf numFmtId="44" fontId="17" fillId="5" borderId="2" xfId="0" applyNumberFormat="1" applyFont="1" applyFill="1" applyBorder="1" applyAlignment="1" applyProtection="1">
      <alignment horizontal="center" vertical="center"/>
    </xf>
    <xf numFmtId="3" fontId="15" fillId="0" borderId="2" xfId="0" applyNumberFormat="1" applyFont="1" applyFill="1" applyBorder="1" applyAlignment="1" applyProtection="1">
      <alignment horizontal="center" vertical="center"/>
    </xf>
    <xf numFmtId="3" fontId="65" fillId="0" borderId="2" xfId="0" applyNumberFormat="1" applyFont="1" applyFill="1" applyBorder="1" applyAlignment="1" applyProtection="1">
      <alignment horizontal="center" vertical="center"/>
      <protection locked="0"/>
    </xf>
    <xf numFmtId="3" fontId="13" fillId="0" borderId="2" xfId="0" applyNumberFormat="1" applyFont="1" applyFill="1" applyBorder="1" applyAlignment="1" applyProtection="1">
      <alignment horizontal="center" vertical="center"/>
      <protection locked="0"/>
    </xf>
    <xf numFmtId="3" fontId="25" fillId="0" borderId="2" xfId="0" applyNumberFormat="1" applyFont="1" applyFill="1" applyBorder="1" applyAlignment="1" applyProtection="1">
      <alignment horizontal="center" vertical="center"/>
    </xf>
    <xf numFmtId="3" fontId="15" fillId="0" borderId="2" xfId="0" applyNumberFormat="1" applyFont="1" applyFill="1" applyBorder="1" applyAlignment="1" applyProtection="1">
      <alignment horizontal="center" vertical="center"/>
      <protection locked="0"/>
    </xf>
    <xf numFmtId="0" fontId="49" fillId="8" borderId="6" xfId="0" applyFont="1" applyFill="1" applyBorder="1" applyAlignment="1">
      <alignment vertical="center" wrapText="1"/>
    </xf>
    <xf numFmtId="3" fontId="51" fillId="15" borderId="27" xfId="0" applyNumberFormat="1" applyFont="1" applyFill="1" applyBorder="1" applyAlignment="1">
      <alignment horizontal="center" vertical="center" wrapText="1"/>
    </xf>
    <xf numFmtId="3" fontId="51" fillId="16" borderId="27" xfId="0" applyNumberFormat="1" applyFont="1" applyFill="1" applyBorder="1" applyAlignment="1">
      <alignment horizontal="center" vertical="center" wrapText="1"/>
    </xf>
    <xf numFmtId="3" fontId="51" fillId="16" borderId="28" xfId="0" applyNumberFormat="1" applyFont="1" applyFill="1" applyBorder="1" applyAlignment="1">
      <alignment horizontal="center" vertical="center" wrapText="1"/>
    </xf>
    <xf numFmtId="3" fontId="55" fillId="8" borderId="6" xfId="0" applyNumberFormat="1" applyFont="1" applyFill="1" applyBorder="1" applyAlignment="1">
      <alignment horizontal="center" vertical="center" wrapText="1"/>
    </xf>
    <xf numFmtId="3" fontId="0" fillId="0" borderId="2" xfId="0" applyNumberFormat="1" applyBorder="1" applyAlignment="1" applyProtection="1">
      <alignment horizontal="center"/>
      <protection locked="0"/>
    </xf>
    <xf numFmtId="3" fontId="0" fillId="0" borderId="4" xfId="0" applyNumberFormat="1" applyFont="1" applyBorder="1" applyAlignment="1" applyProtection="1">
      <alignment horizontal="center" vertical="center" wrapText="1"/>
      <protection locked="0"/>
    </xf>
    <xf numFmtId="3" fontId="0" fillId="2" borderId="39" xfId="0" applyNumberFormat="1" applyFont="1" applyFill="1" applyBorder="1" applyAlignment="1" applyProtection="1">
      <alignment horizontal="center" vertical="center" wrapText="1"/>
    </xf>
    <xf numFmtId="165" fontId="0" fillId="2" borderId="25" xfId="0" applyNumberFormat="1" applyFont="1" applyFill="1" applyBorder="1" applyAlignment="1" applyProtection="1">
      <alignment horizontal="center" vertical="center" wrapText="1"/>
    </xf>
    <xf numFmtId="165" fontId="0" fillId="2" borderId="31" xfId="0" applyNumberFormat="1" applyFont="1" applyFill="1" applyBorder="1" applyAlignment="1" applyProtection="1">
      <alignment horizontal="center" vertical="center" wrapText="1"/>
    </xf>
    <xf numFmtId="165" fontId="0" fillId="2" borderId="40" xfId="0" applyNumberFormat="1" applyFont="1" applyFill="1" applyBorder="1" applyAlignment="1" applyProtection="1">
      <alignment horizontal="center" vertical="center" wrapText="1"/>
    </xf>
    <xf numFmtId="165" fontId="0" fillId="2" borderId="41" xfId="0" applyNumberFormat="1" applyFont="1" applyFill="1" applyBorder="1" applyAlignment="1" applyProtection="1">
      <alignment horizontal="center" vertical="center" wrapText="1"/>
    </xf>
    <xf numFmtId="165" fontId="0" fillId="2" borderId="39" xfId="0" applyNumberFormat="1" applyFont="1" applyFill="1" applyBorder="1" applyAlignment="1" applyProtection="1">
      <alignment horizontal="center" vertical="center" wrapText="1"/>
    </xf>
    <xf numFmtId="165" fontId="0" fillId="2" borderId="5" xfId="0" applyNumberFormat="1" applyFont="1" applyFill="1" applyBorder="1" applyAlignment="1" applyProtection="1">
      <alignment horizontal="center" vertical="center" wrapText="1"/>
    </xf>
    <xf numFmtId="165" fontId="0" fillId="2" borderId="30" xfId="0" applyNumberFormat="1" applyFont="1" applyFill="1" applyBorder="1" applyAlignment="1" applyProtection="1">
      <alignment horizontal="center" vertical="center" wrapText="1"/>
    </xf>
    <xf numFmtId="165" fontId="0" fillId="2" borderId="42" xfId="0" applyNumberFormat="1" applyFont="1" applyFill="1" applyBorder="1" applyAlignment="1" applyProtection="1">
      <alignment horizontal="center" vertical="center" wrapText="1"/>
    </xf>
    <xf numFmtId="165" fontId="0" fillId="2" borderId="4" xfId="0" applyNumberFormat="1" applyFont="1" applyFill="1" applyBorder="1" applyAlignment="1" applyProtection="1">
      <alignment horizontal="center" vertical="center" wrapText="1"/>
    </xf>
    <xf numFmtId="165" fontId="0" fillId="2" borderId="2" xfId="0" applyNumberFormat="1" applyFont="1" applyFill="1" applyBorder="1" applyAlignment="1" applyProtection="1">
      <alignment horizontal="center" vertical="center" wrapText="1"/>
    </xf>
    <xf numFmtId="3" fontId="0" fillId="0" borderId="43" xfId="0" applyNumberFormat="1" applyFont="1" applyBorder="1" applyAlignment="1" applyProtection="1">
      <alignment horizontal="center" vertical="center" wrapText="1"/>
      <protection locked="0"/>
    </xf>
    <xf numFmtId="3" fontId="0" fillId="0" borderId="44" xfId="0" applyNumberFormat="1" applyFont="1" applyBorder="1" applyAlignment="1" applyProtection="1">
      <alignment horizontal="center" vertical="center" wrapText="1"/>
      <protection locked="0"/>
    </xf>
    <xf numFmtId="3" fontId="0" fillId="2" borderId="44" xfId="0" applyNumberFormat="1" applyFont="1" applyFill="1" applyBorder="1" applyAlignment="1" applyProtection="1">
      <alignment horizontal="center" vertical="center" wrapText="1"/>
    </xf>
    <xf numFmtId="165" fontId="0" fillId="2" borderId="19" xfId="0" applyNumberFormat="1" applyFont="1" applyFill="1" applyBorder="1" applyAlignment="1" applyProtection="1">
      <alignment horizontal="center" vertical="center" wrapText="1"/>
    </xf>
    <xf numFmtId="3" fontId="0" fillId="0" borderId="45" xfId="0" applyNumberFormat="1" applyFont="1" applyBorder="1" applyAlignment="1" applyProtection="1">
      <alignment horizontal="center" vertical="center" wrapText="1"/>
      <protection locked="0"/>
    </xf>
    <xf numFmtId="3" fontId="0" fillId="0" borderId="46" xfId="0" applyNumberFormat="1" applyFont="1" applyBorder="1" applyAlignment="1" applyProtection="1">
      <alignment horizontal="center" vertical="center" wrapText="1"/>
      <protection locked="0"/>
    </xf>
    <xf numFmtId="3" fontId="0" fillId="2" borderId="46" xfId="0" applyNumberFormat="1" applyFont="1" applyFill="1" applyBorder="1" applyAlignment="1" applyProtection="1">
      <alignment horizontal="center" vertical="center" wrapText="1"/>
    </xf>
    <xf numFmtId="165" fontId="0" fillId="2" borderId="47" xfId="0" applyNumberFormat="1" applyFont="1" applyFill="1" applyBorder="1" applyAlignment="1" applyProtection="1">
      <alignment horizontal="center" vertical="center" wrapText="1"/>
    </xf>
    <xf numFmtId="165" fontId="0" fillId="2" borderId="48" xfId="0" applyNumberFormat="1" applyFont="1" applyFill="1" applyBorder="1" applyAlignment="1" applyProtection="1">
      <alignment horizontal="center" vertical="center" wrapText="1"/>
    </xf>
    <xf numFmtId="165" fontId="0" fillId="2" borderId="49" xfId="0" applyNumberFormat="1" applyFont="1" applyFill="1" applyBorder="1" applyAlignment="1" applyProtection="1">
      <alignment horizontal="center" vertical="center" wrapText="1"/>
    </xf>
    <xf numFmtId="165" fontId="0" fillId="2" borderId="45" xfId="0" applyNumberFormat="1" applyFont="1" applyFill="1" applyBorder="1" applyAlignment="1" applyProtection="1">
      <alignment horizontal="center" vertical="center" wrapText="1"/>
    </xf>
    <xf numFmtId="165" fontId="0" fillId="2" borderId="46" xfId="0" applyNumberFormat="1" applyFont="1" applyFill="1" applyBorder="1" applyAlignment="1" applyProtection="1">
      <alignment horizontal="center" vertical="center" wrapText="1"/>
    </xf>
    <xf numFmtId="9" fontId="15" fillId="5" borderId="2" xfId="0" applyNumberFormat="1" applyFont="1" applyFill="1" applyBorder="1" applyAlignment="1" applyProtection="1">
      <alignment horizontal="center" vertical="center"/>
    </xf>
    <xf numFmtId="9" fontId="13" fillId="0" borderId="0" xfId="0" applyNumberFormat="1" applyFont="1" applyProtection="1"/>
    <xf numFmtId="9" fontId="13" fillId="0" borderId="0" xfId="7" applyFont="1" applyProtection="1"/>
    <xf numFmtId="3" fontId="49" fillId="2" borderId="2" xfId="0" applyNumberFormat="1" applyFont="1" applyFill="1" applyBorder="1" applyAlignment="1" applyProtection="1">
      <alignment horizontal="center" vertical="center"/>
    </xf>
    <xf numFmtId="166" fontId="49" fillId="2" borderId="2" xfId="0" applyNumberFormat="1" applyFont="1" applyFill="1" applyBorder="1" applyAlignment="1" applyProtection="1">
      <alignment horizontal="center" vertical="center"/>
    </xf>
    <xf numFmtId="0" fontId="49" fillId="2" borderId="2" xfId="0" applyFont="1" applyFill="1" applyBorder="1" applyAlignment="1" applyProtection="1">
      <alignment horizontal="center" vertical="center"/>
    </xf>
    <xf numFmtId="166" fontId="49" fillId="2" borderId="2" xfId="0" applyNumberFormat="1" applyFont="1" applyFill="1" applyBorder="1" applyAlignment="1" applyProtection="1">
      <alignment horizontal="center" vertical="center" wrapText="1"/>
    </xf>
    <xf numFmtId="3" fontId="49" fillId="2" borderId="2" xfId="0" applyNumberFormat="1" applyFont="1" applyFill="1" applyBorder="1" applyAlignment="1" applyProtection="1">
      <alignment horizontal="center" vertical="center" wrapText="1"/>
    </xf>
    <xf numFmtId="0" fontId="5" fillId="14" borderId="48" xfId="0" applyFont="1" applyFill="1" applyBorder="1" applyAlignment="1" applyProtection="1">
      <alignment horizontal="left" vertical="center" wrapText="1" indent="1"/>
    </xf>
    <xf numFmtId="3" fontId="56" fillId="0" borderId="6" xfId="0" applyNumberFormat="1" applyFont="1" applyFill="1" applyBorder="1" applyAlignment="1" applyProtection="1">
      <alignment horizontal="center" vertical="center"/>
      <protection locked="0"/>
    </xf>
    <xf numFmtId="0" fontId="17" fillId="10" borderId="2" xfId="4" applyFont="1" applyFill="1" applyBorder="1" applyAlignment="1">
      <alignment horizontal="center" vertical="center" wrapText="1"/>
    </xf>
    <xf numFmtId="0" fontId="55" fillId="2" borderId="4" xfId="0" applyFont="1" applyFill="1" applyBorder="1" applyAlignment="1" applyProtection="1">
      <alignment horizontal="left" vertical="center" wrapText="1" indent="1"/>
    </xf>
    <xf numFmtId="165" fontId="57" fillId="0" borderId="2" xfId="0" applyNumberFormat="1" applyFont="1" applyFill="1" applyBorder="1" applyAlignment="1" applyProtection="1">
      <alignment horizontal="center" vertical="center" wrapText="1"/>
      <protection locked="0"/>
    </xf>
    <xf numFmtId="9" fontId="57" fillId="0" borderId="2" xfId="7" applyFont="1" applyFill="1" applyBorder="1" applyAlignment="1" applyProtection="1">
      <alignment horizontal="center" vertical="center" wrapText="1"/>
      <protection locked="0"/>
    </xf>
    <xf numFmtId="0" fontId="67" fillId="0" borderId="0" xfId="0" applyFont="1" applyAlignment="1" applyProtection="1">
      <alignment horizontal="center" vertical="center"/>
    </xf>
    <xf numFmtId="0" fontId="68" fillId="0" borderId="0" xfId="0" applyFont="1" applyAlignment="1" applyProtection="1">
      <alignment horizontal="center" vertical="center"/>
    </xf>
    <xf numFmtId="0" fontId="69" fillId="0" borderId="0" xfId="0" applyFont="1" applyAlignment="1" applyProtection="1">
      <alignment horizontal="center" vertical="center"/>
    </xf>
    <xf numFmtId="0" fontId="57" fillId="0" borderId="2" xfId="0" applyFont="1" applyBorder="1" applyAlignment="1">
      <alignment vertical="center" wrapText="1"/>
    </xf>
    <xf numFmtId="0" fontId="60" fillId="0" borderId="2" xfId="0" applyFont="1" applyBorder="1" applyAlignment="1">
      <alignment vertical="center" wrapText="1"/>
    </xf>
    <xf numFmtId="0" fontId="60" fillId="0" borderId="5" xfId="0" applyFont="1" applyBorder="1" applyAlignment="1">
      <alignment vertical="center" wrapText="1"/>
    </xf>
    <xf numFmtId="0" fontId="60" fillId="0" borderId="2" xfId="0" applyFont="1" applyFill="1" applyBorder="1" applyAlignment="1">
      <alignment vertical="center" wrapText="1"/>
    </xf>
    <xf numFmtId="0" fontId="57" fillId="0" borderId="2" xfId="0" applyFont="1" applyFill="1" applyBorder="1" applyAlignment="1">
      <alignment vertical="center" wrapText="1"/>
    </xf>
    <xf numFmtId="0" fontId="60" fillId="0" borderId="2" xfId="0" applyFont="1" applyBorder="1" applyAlignment="1">
      <alignment horizontal="center" vertical="center" wrapText="1"/>
    </xf>
    <xf numFmtId="0" fontId="57" fillId="0" borderId="6" xfId="0" applyFont="1" applyFill="1" applyBorder="1" applyAlignment="1">
      <alignment vertical="center" wrapText="1"/>
    </xf>
    <xf numFmtId="0" fontId="60" fillId="0" borderId="6" xfId="0" applyFont="1" applyBorder="1" applyAlignment="1">
      <alignment horizontal="center" vertical="center" wrapText="1"/>
    </xf>
    <xf numFmtId="0" fontId="56" fillId="0" borderId="11" xfId="0" applyFont="1" applyBorder="1" applyAlignment="1">
      <alignment horizontal="center" vertical="center" wrapText="1"/>
    </xf>
    <xf numFmtId="0" fontId="49" fillId="0" borderId="18" xfId="0" applyFont="1" applyBorder="1" applyAlignment="1">
      <alignment horizontal="center" vertical="center" wrapText="1"/>
    </xf>
    <xf numFmtId="0" fontId="0" fillId="0" borderId="6" xfId="0" applyFont="1" applyBorder="1"/>
    <xf numFmtId="0" fontId="0" fillId="0" borderId="7" xfId="0" applyFont="1" applyBorder="1"/>
    <xf numFmtId="0" fontId="55" fillId="0" borderId="0" xfId="0" applyFont="1" applyFill="1" applyBorder="1" applyAlignment="1" applyProtection="1">
      <alignment horizontal="left"/>
    </xf>
    <xf numFmtId="0" fontId="49" fillId="4" borderId="11" xfId="0" applyFont="1" applyFill="1" applyBorder="1" applyAlignment="1">
      <alignment horizontal="center" vertical="center" wrapText="1"/>
    </xf>
    <xf numFmtId="0" fontId="56" fillId="0" borderId="0" xfId="0" applyFont="1" applyAlignment="1">
      <alignment vertical="center" wrapText="1"/>
    </xf>
    <xf numFmtId="0" fontId="0" fillId="0" borderId="0" xfId="0" applyFont="1" applyAlignment="1">
      <alignment vertical="center" wrapText="1"/>
    </xf>
    <xf numFmtId="0" fontId="70" fillId="4" borderId="2" xfId="0" applyFont="1" applyFill="1" applyBorder="1" applyAlignment="1">
      <alignment horizontal="center" vertical="center" wrapText="1"/>
    </xf>
    <xf numFmtId="0" fontId="49" fillId="2" borderId="4" xfId="0" applyFont="1" applyFill="1" applyBorder="1" applyAlignment="1">
      <alignment horizontal="left" vertical="center" wrapText="1" indent="1"/>
    </xf>
    <xf numFmtId="3" fontId="49" fillId="2" borderId="5" xfId="0" applyNumberFormat="1" applyFont="1" applyFill="1" applyBorder="1" applyAlignment="1">
      <alignment horizontal="center" vertical="center"/>
    </xf>
    <xf numFmtId="0" fontId="49" fillId="4" borderId="4" xfId="0" applyFont="1" applyFill="1" applyBorder="1" applyAlignment="1">
      <alignment horizontal="center" vertical="center" wrapText="1"/>
    </xf>
    <xf numFmtId="0" fontId="49" fillId="4" borderId="20" xfId="0" applyFont="1" applyFill="1" applyBorder="1" applyAlignment="1">
      <alignment horizontal="center" vertical="center" wrapText="1"/>
    </xf>
    <xf numFmtId="0" fontId="70" fillId="4" borderId="6" xfId="0" applyFont="1" applyFill="1" applyBorder="1" applyAlignment="1">
      <alignment horizontal="center" vertical="center" wrapText="1"/>
    </xf>
    <xf numFmtId="3" fontId="49" fillId="4" borderId="6" xfId="0" applyNumberFormat="1" applyFont="1" applyFill="1" applyBorder="1" applyAlignment="1">
      <alignment horizontal="center" vertical="center"/>
    </xf>
    <xf numFmtId="0" fontId="49" fillId="4" borderId="4" xfId="0" applyFont="1" applyFill="1" applyBorder="1" applyAlignment="1">
      <alignment horizontal="center" vertical="center"/>
    </xf>
    <xf numFmtId="0" fontId="70" fillId="4" borderId="2" xfId="0" applyFont="1" applyFill="1" applyBorder="1" applyAlignment="1">
      <alignment horizontal="center" vertical="center"/>
    </xf>
    <xf numFmtId="0" fontId="49" fillId="4" borderId="20" xfId="0" applyFont="1" applyFill="1" applyBorder="1" applyAlignment="1">
      <alignment horizontal="center" vertical="center"/>
    </xf>
    <xf numFmtId="0" fontId="70" fillId="4" borderId="6" xfId="0" applyFont="1" applyFill="1" applyBorder="1" applyAlignment="1">
      <alignment horizontal="center" vertical="center"/>
    </xf>
    <xf numFmtId="0" fontId="0" fillId="4" borderId="6" xfId="0" applyFont="1" applyFill="1" applyBorder="1" applyAlignment="1">
      <alignment horizontal="center" vertical="center"/>
    </xf>
    <xf numFmtId="0" fontId="0" fillId="4" borderId="7" xfId="0" applyFont="1" applyFill="1" applyBorder="1" applyAlignment="1">
      <alignment horizontal="center" vertical="center"/>
    </xf>
    <xf numFmtId="0" fontId="0" fillId="0" borderId="2" xfId="0" applyFont="1" applyFill="1" applyBorder="1" applyAlignment="1">
      <alignment horizontal="center" vertical="center" wrapText="1"/>
    </xf>
    <xf numFmtId="0" fontId="49" fillId="2" borderId="6" xfId="0" applyFont="1" applyFill="1" applyBorder="1" applyAlignment="1" applyProtection="1">
      <alignment horizontal="center" vertical="center"/>
    </xf>
    <xf numFmtId="0" fontId="44" fillId="8" borderId="6" xfId="0" applyFont="1" applyFill="1" applyBorder="1" applyAlignment="1" applyProtection="1">
      <alignment horizontal="center" vertical="center"/>
    </xf>
    <xf numFmtId="0" fontId="11" fillId="3" borderId="5" xfId="0" applyFont="1" applyFill="1" applyBorder="1" applyAlignment="1" applyProtection="1">
      <alignment horizontal="center" vertical="center" wrapText="1"/>
    </xf>
    <xf numFmtId="0" fontId="15" fillId="4" borderId="5" xfId="0" applyFont="1" applyFill="1" applyBorder="1" applyAlignment="1" applyProtection="1">
      <alignment horizontal="center" vertical="center"/>
    </xf>
    <xf numFmtId="10" fontId="15" fillId="0" borderId="5" xfId="0" applyNumberFormat="1" applyFont="1" applyFill="1" applyBorder="1" applyAlignment="1" applyProtection="1">
      <alignment horizontal="center" vertical="center"/>
    </xf>
    <xf numFmtId="10" fontId="26" fillId="5" borderId="5" xfId="0" applyNumberFormat="1" applyFont="1" applyFill="1" applyBorder="1" applyAlignment="1" applyProtection="1">
      <alignment horizontal="center" vertical="center"/>
    </xf>
    <xf numFmtId="10" fontId="15" fillId="4" borderId="5" xfId="0" applyNumberFormat="1" applyFont="1" applyFill="1" applyBorder="1" applyAlignment="1" applyProtection="1">
      <alignment horizontal="center" vertical="center"/>
    </xf>
    <xf numFmtId="10" fontId="15" fillId="0" borderId="5" xfId="0" applyNumberFormat="1" applyFont="1" applyBorder="1" applyAlignment="1" applyProtection="1">
      <alignment horizontal="center" vertical="center"/>
    </xf>
    <xf numFmtId="10" fontId="14" fillId="4" borderId="5" xfId="0" applyNumberFormat="1" applyFont="1" applyFill="1" applyBorder="1" applyAlignment="1" applyProtection="1">
      <alignment horizontal="center" vertical="center"/>
    </xf>
    <xf numFmtId="0" fontId="27" fillId="6" borderId="5" xfId="0" applyFont="1" applyFill="1" applyBorder="1" applyAlignment="1" applyProtection="1">
      <alignment horizontal="left" vertical="center" wrapText="1" indent="1"/>
    </xf>
    <xf numFmtId="165" fontId="15" fillId="5" borderId="5" xfId="0" applyNumberFormat="1" applyFont="1" applyFill="1" applyBorder="1" applyAlignment="1" applyProtection="1">
      <alignment horizontal="center" vertical="center"/>
    </xf>
    <xf numFmtId="0" fontId="46" fillId="0" borderId="0" xfId="0" applyFont="1" applyFill="1" applyBorder="1" applyAlignment="1" applyProtection="1">
      <alignment horizontal="center" vertical="center" wrapText="1"/>
    </xf>
    <xf numFmtId="3" fontId="0" fillId="0" borderId="0" xfId="0" applyNumberFormat="1" applyFont="1" applyFill="1" applyBorder="1" applyAlignment="1" applyProtection="1">
      <alignment horizontal="center" vertical="center" wrapText="1"/>
    </xf>
    <xf numFmtId="3" fontId="0" fillId="4" borderId="5" xfId="0" applyNumberFormat="1" applyFont="1" applyFill="1" applyBorder="1" applyAlignment="1" applyProtection="1">
      <alignment horizontal="center" vertical="center" wrapText="1"/>
    </xf>
    <xf numFmtId="0" fontId="0" fillId="0" borderId="0" xfId="0" applyFont="1" applyAlignment="1" applyProtection="1">
      <alignment horizontal="center" vertical="center"/>
    </xf>
    <xf numFmtId="0" fontId="49" fillId="0" borderId="11" xfId="0" applyFont="1" applyBorder="1" applyAlignment="1" applyProtection="1">
      <alignment horizontal="center" vertical="center" wrapText="1"/>
    </xf>
    <xf numFmtId="0" fontId="0" fillId="2" borderId="2" xfId="0" applyFont="1" applyFill="1" applyBorder="1" applyAlignment="1" applyProtection="1">
      <alignment horizontal="center" vertical="center" wrapText="1"/>
    </xf>
    <xf numFmtId="0" fontId="0" fillId="8" borderId="2" xfId="0" applyFont="1" applyFill="1" applyBorder="1" applyAlignment="1" applyProtection="1">
      <alignment horizontal="center" vertical="center" wrapText="1"/>
    </xf>
    <xf numFmtId="0" fontId="0" fillId="2" borderId="5" xfId="0" applyFont="1" applyFill="1" applyBorder="1" applyAlignment="1" applyProtection="1">
      <alignment horizontal="center" vertical="center" wrapText="1"/>
    </xf>
    <xf numFmtId="3" fontId="0" fillId="4" borderId="2" xfId="0" applyNumberFormat="1" applyFont="1" applyFill="1" applyBorder="1" applyAlignment="1" applyProtection="1">
      <alignment horizontal="center" vertical="center" wrapText="1"/>
    </xf>
    <xf numFmtId="4" fontId="0" fillId="2" borderId="2" xfId="0" applyNumberFormat="1" applyFont="1" applyFill="1" applyBorder="1" applyAlignment="1" applyProtection="1">
      <alignment horizontal="center" vertical="center" wrapText="1"/>
    </xf>
    <xf numFmtId="3" fontId="56" fillId="8" borderId="2" xfId="0" applyNumberFormat="1" applyFont="1" applyFill="1" applyBorder="1" applyAlignment="1" applyProtection="1">
      <alignment horizontal="center" vertical="center" wrapText="1"/>
    </xf>
    <xf numFmtId="4" fontId="56" fillId="8" borderId="2" xfId="0" applyNumberFormat="1" applyFont="1" applyFill="1"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0" fontId="49" fillId="2" borderId="12" xfId="0" applyFont="1" applyFill="1" applyBorder="1" applyAlignment="1" applyProtection="1">
      <alignment horizontal="center" vertical="center" wrapText="1"/>
    </xf>
    <xf numFmtId="0" fontId="49" fillId="2" borderId="11" xfId="0" applyFont="1" applyFill="1" applyBorder="1" applyAlignment="1" applyProtection="1">
      <alignment horizontal="center" vertical="center" wrapText="1"/>
    </xf>
    <xf numFmtId="0" fontId="0" fillId="4" borderId="2" xfId="0" applyFont="1" applyFill="1" applyBorder="1" applyAlignment="1" applyProtection="1">
      <alignment horizontal="center" vertical="center"/>
    </xf>
    <xf numFmtId="0" fontId="0" fillId="4" borderId="5" xfId="0" applyFont="1" applyFill="1" applyBorder="1" applyAlignment="1" applyProtection="1">
      <alignment horizontal="center" vertical="center"/>
    </xf>
    <xf numFmtId="0" fontId="0" fillId="2" borderId="4" xfId="0" applyFont="1" applyFill="1" applyBorder="1" applyAlignment="1" applyProtection="1">
      <alignment vertical="center" wrapText="1"/>
    </xf>
    <xf numFmtId="0" fontId="0" fillId="0" borderId="0" xfId="0" applyFont="1" applyBorder="1" applyProtection="1"/>
    <xf numFmtId="3" fontId="0" fillId="0" borderId="0" xfId="0" applyNumberFormat="1" applyFont="1" applyBorder="1" applyAlignment="1" applyProtection="1">
      <alignment horizontal="center" vertical="center"/>
    </xf>
    <xf numFmtId="0" fontId="49" fillId="8" borderId="4" xfId="0" applyFont="1" applyFill="1" applyBorder="1" applyAlignment="1" applyProtection="1">
      <alignment vertical="center" wrapText="1"/>
    </xf>
    <xf numFmtId="3" fontId="63" fillId="4" borderId="2" xfId="0" applyNumberFormat="1" applyFont="1" applyFill="1" applyBorder="1" applyAlignment="1" applyProtection="1">
      <alignment horizontal="center" vertical="center"/>
    </xf>
    <xf numFmtId="3" fontId="49" fillId="8" borderId="2" xfId="0" applyNumberFormat="1" applyFont="1" applyFill="1" applyBorder="1" applyAlignment="1" applyProtection="1">
      <alignment horizontal="center" vertical="center"/>
    </xf>
    <xf numFmtId="10" fontId="49" fillId="8" borderId="2" xfId="0" applyNumberFormat="1" applyFont="1" applyFill="1" applyBorder="1" applyAlignment="1" applyProtection="1">
      <alignment horizontal="center" vertical="center"/>
    </xf>
    <xf numFmtId="166" fontId="49" fillId="8" borderId="2" xfId="0" applyNumberFormat="1" applyFont="1" applyFill="1" applyBorder="1" applyAlignment="1" applyProtection="1">
      <alignment horizontal="center" vertical="center"/>
    </xf>
    <xf numFmtId="0" fontId="62" fillId="2" borderId="2" xfId="0" applyFont="1" applyFill="1" applyBorder="1" applyAlignment="1" applyProtection="1">
      <alignment horizontal="center" vertical="center" wrapText="1"/>
    </xf>
    <xf numFmtId="0" fontId="62" fillId="2" borderId="5" xfId="0" applyFont="1" applyFill="1" applyBorder="1" applyAlignment="1" applyProtection="1">
      <alignment horizontal="center" vertical="center" wrapText="1"/>
    </xf>
    <xf numFmtId="0" fontId="62" fillId="2" borderId="0" xfId="0" applyFont="1" applyFill="1" applyBorder="1" applyAlignment="1" applyProtection="1">
      <alignment horizontal="center" vertical="center" wrapText="1"/>
    </xf>
    <xf numFmtId="0" fontId="56" fillId="2" borderId="4" xfId="0" applyFont="1" applyFill="1" applyBorder="1" applyAlignment="1" applyProtection="1">
      <alignment horizontal="left" vertical="center" indent="1"/>
    </xf>
    <xf numFmtId="3" fontId="0" fillId="3" borderId="2" xfId="0" applyNumberFormat="1" applyFont="1" applyFill="1" applyBorder="1" applyAlignment="1" applyProtection="1">
      <alignment horizontal="center"/>
    </xf>
    <xf numFmtId="1" fontId="0" fillId="0" borderId="0" xfId="0" applyNumberFormat="1" applyFont="1" applyProtection="1"/>
    <xf numFmtId="4" fontId="49" fillId="2" borderId="2" xfId="0" applyNumberFormat="1" applyFont="1" applyFill="1" applyBorder="1" applyAlignment="1" applyProtection="1">
      <alignment horizontal="center" vertical="center" wrapText="1"/>
    </xf>
    <xf numFmtId="3" fontId="49" fillId="2" borderId="5" xfId="0" applyNumberFormat="1" applyFont="1" applyFill="1" applyBorder="1" applyAlignment="1" applyProtection="1">
      <alignment horizontal="center" vertical="center" wrapText="1"/>
    </xf>
    <xf numFmtId="0" fontId="49" fillId="2" borderId="4" xfId="0" applyFont="1" applyFill="1" applyBorder="1" applyAlignment="1" applyProtection="1">
      <alignment horizontal="left" vertical="center" indent="1"/>
    </xf>
    <xf numFmtId="3" fontId="0" fillId="0" borderId="0" xfId="0" applyNumberFormat="1" applyFont="1" applyAlignment="1" applyProtection="1">
      <alignment horizontal="center"/>
    </xf>
    <xf numFmtId="3" fontId="49" fillId="2" borderId="5" xfId="0" applyNumberFormat="1" applyFont="1" applyFill="1" applyBorder="1" applyAlignment="1" applyProtection="1">
      <alignment horizontal="center" vertical="center"/>
    </xf>
    <xf numFmtId="3" fontId="0" fillId="0" borderId="0" xfId="0" applyNumberFormat="1" applyFont="1" applyFill="1" applyBorder="1" applyAlignment="1" applyProtection="1">
      <alignment horizontal="center"/>
    </xf>
    <xf numFmtId="0" fontId="49" fillId="0" borderId="21" xfId="0" applyFont="1" applyFill="1" applyBorder="1" applyAlignment="1" applyProtection="1">
      <alignment horizontal="left" vertical="center" indent="1"/>
    </xf>
    <xf numFmtId="3" fontId="49" fillId="0" borderId="0" xfId="0" applyNumberFormat="1" applyFont="1" applyFill="1" applyBorder="1" applyAlignment="1" applyProtection="1">
      <alignment horizontal="center" vertical="center" wrapText="1"/>
    </xf>
    <xf numFmtId="0" fontId="0" fillId="0" borderId="50" xfId="0" applyFont="1" applyFill="1" applyBorder="1" applyAlignment="1" applyProtection="1">
      <alignment horizontal="center" vertical="center" wrapText="1"/>
    </xf>
    <xf numFmtId="0" fontId="0" fillId="8" borderId="11" xfId="0" applyFont="1" applyFill="1" applyBorder="1" applyAlignment="1" applyProtection="1">
      <alignment horizontal="center" vertical="center" wrapText="1"/>
    </xf>
    <xf numFmtId="0" fontId="0" fillId="8" borderId="18" xfId="0" applyFont="1" applyFill="1" applyBorder="1" applyAlignment="1" applyProtection="1">
      <alignment horizontal="center" vertical="center" wrapText="1"/>
    </xf>
    <xf numFmtId="0" fontId="0" fillId="8" borderId="5" xfId="0" applyFont="1" applyFill="1" applyBorder="1" applyAlignment="1" applyProtection="1">
      <alignment horizontal="center" vertical="center" wrapText="1"/>
    </xf>
    <xf numFmtId="0" fontId="56" fillId="2" borderId="20" xfId="0" applyFont="1" applyFill="1" applyBorder="1" applyAlignment="1" applyProtection="1">
      <alignment horizontal="left" vertical="center" indent="1"/>
    </xf>
    <xf numFmtId="0" fontId="0" fillId="2" borderId="6" xfId="0" applyFont="1" applyFill="1" applyBorder="1" applyAlignment="1" applyProtection="1">
      <alignment horizontal="center" vertical="center" wrapText="1"/>
    </xf>
    <xf numFmtId="166" fontId="49" fillId="2" borderId="23" xfId="0" applyNumberFormat="1" applyFont="1" applyFill="1" applyBorder="1" applyAlignment="1" applyProtection="1">
      <alignment horizontal="center" vertical="center"/>
    </xf>
    <xf numFmtId="3" fontId="49" fillId="2" borderId="23" xfId="0" applyNumberFormat="1" applyFont="1" applyFill="1" applyBorder="1" applyAlignment="1" applyProtection="1">
      <alignment horizontal="center" vertical="center"/>
    </xf>
    <xf numFmtId="3" fontId="49" fillId="2" borderId="7" xfId="0" applyNumberFormat="1" applyFont="1" applyFill="1" applyBorder="1" applyAlignment="1" applyProtection="1">
      <alignment horizontal="center" vertical="center"/>
    </xf>
    <xf numFmtId="0" fontId="0" fillId="0" borderId="0" xfId="0" applyFont="1" applyAlignment="1" applyProtection="1">
      <alignment horizontal="center"/>
    </xf>
    <xf numFmtId="0" fontId="49" fillId="0" borderId="0" xfId="0" applyFont="1" applyFill="1" applyBorder="1" applyAlignment="1" applyProtection="1">
      <alignment horizontal="center" vertical="justify"/>
    </xf>
    <xf numFmtId="0" fontId="49" fillId="2" borderId="15" xfId="0" applyFont="1" applyFill="1" applyBorder="1" applyAlignment="1" applyProtection="1">
      <alignment horizontal="center" vertical="center" wrapText="1"/>
    </xf>
    <xf numFmtId="0" fontId="62" fillId="2" borderId="51" xfId="0" applyFont="1" applyFill="1" applyBorder="1" applyAlignment="1" applyProtection="1">
      <alignment horizontal="center" vertical="center" wrapText="1"/>
    </xf>
    <xf numFmtId="0" fontId="62" fillId="13" borderId="8" xfId="0" applyFont="1" applyFill="1" applyBorder="1" applyAlignment="1" applyProtection="1">
      <alignment horizontal="center" vertical="center" wrapText="1"/>
    </xf>
    <xf numFmtId="0" fontId="62" fillId="4" borderId="9" xfId="0" applyFont="1" applyFill="1" applyBorder="1" applyAlignment="1" applyProtection="1">
      <alignment horizontal="center" vertical="center" wrapText="1"/>
    </xf>
    <xf numFmtId="0" fontId="62" fillId="3" borderId="10" xfId="0" applyFont="1" applyFill="1" applyBorder="1" applyAlignment="1" applyProtection="1">
      <alignment horizontal="center" vertical="center" wrapText="1"/>
    </xf>
    <xf numFmtId="0" fontId="62" fillId="13" borderId="52" xfId="0" applyFont="1" applyFill="1" applyBorder="1" applyAlignment="1" applyProtection="1">
      <alignment horizontal="center" vertical="center" wrapText="1"/>
    </xf>
    <xf numFmtId="0" fontId="62" fillId="4" borderId="16" xfId="0" applyFont="1" applyFill="1" applyBorder="1" applyAlignment="1" applyProtection="1">
      <alignment horizontal="center" vertical="center" wrapText="1"/>
    </xf>
    <xf numFmtId="0" fontId="62" fillId="3" borderId="17" xfId="0" applyFont="1" applyFill="1" applyBorder="1" applyAlignment="1" applyProtection="1">
      <alignment horizontal="center" vertical="center" wrapText="1"/>
    </xf>
    <xf numFmtId="0" fontId="62" fillId="13" borderId="15" xfId="0" applyFont="1" applyFill="1" applyBorder="1" applyAlignment="1" applyProtection="1">
      <alignment horizontal="center" vertical="center" wrapText="1"/>
    </xf>
    <xf numFmtId="49" fontId="0" fillId="0" borderId="0" xfId="0" applyNumberFormat="1" applyFont="1" applyBorder="1" applyProtection="1"/>
    <xf numFmtId="0" fontId="48" fillId="4" borderId="12" xfId="0" applyFont="1" applyFill="1" applyBorder="1" applyAlignment="1" applyProtection="1">
      <alignment vertical="center" wrapText="1"/>
    </xf>
    <xf numFmtId="3" fontId="57" fillId="4" borderId="53" xfId="0" applyNumberFormat="1" applyFont="1" applyFill="1" applyBorder="1" applyAlignment="1" applyProtection="1">
      <alignment horizontal="center" vertical="center"/>
    </xf>
    <xf numFmtId="3" fontId="57" fillId="4" borderId="41" xfId="0" applyNumberFormat="1" applyFont="1" applyFill="1" applyBorder="1" applyAlignment="1" applyProtection="1">
      <alignment horizontal="center" vertical="center"/>
    </xf>
    <xf numFmtId="3" fontId="57" fillId="4" borderId="39" xfId="0" applyNumberFormat="1" applyFont="1" applyFill="1" applyBorder="1" applyAlignment="1" applyProtection="1">
      <alignment horizontal="center" vertical="center"/>
    </xf>
    <xf numFmtId="0" fontId="0" fillId="4" borderId="25" xfId="0" applyFont="1" applyFill="1" applyBorder="1" applyAlignment="1" applyProtection="1">
      <alignment horizontal="center" vertical="center"/>
    </xf>
    <xf numFmtId="3" fontId="57" fillId="4" borderId="54" xfId="0" applyNumberFormat="1" applyFont="1" applyFill="1" applyBorder="1" applyAlignment="1" applyProtection="1">
      <alignment horizontal="center" vertical="center"/>
    </xf>
    <xf numFmtId="3" fontId="57" fillId="4" borderId="11" xfId="0" applyNumberFormat="1" applyFont="1" applyFill="1" applyBorder="1" applyAlignment="1" applyProtection="1">
      <alignment horizontal="center" vertical="center"/>
    </xf>
    <xf numFmtId="0" fontId="0" fillId="4" borderId="18" xfId="0" applyFont="1" applyFill="1" applyBorder="1" applyAlignment="1" applyProtection="1">
      <alignment horizontal="center" vertical="center"/>
    </xf>
    <xf numFmtId="3" fontId="57" fillId="4" borderId="12" xfId="0" applyNumberFormat="1" applyFont="1" applyFill="1" applyBorder="1" applyAlignment="1" applyProtection="1">
      <alignment horizontal="center" vertical="center"/>
    </xf>
    <xf numFmtId="3" fontId="57" fillId="2" borderId="42" xfId="0" applyNumberFormat="1" applyFont="1" applyFill="1" applyBorder="1" applyAlignment="1" applyProtection="1">
      <alignment horizontal="center" vertical="center"/>
    </xf>
    <xf numFmtId="2" fontId="0" fillId="13" borderId="4" xfId="0" applyNumberFormat="1" applyFont="1" applyFill="1" applyBorder="1" applyAlignment="1" applyProtection="1">
      <alignment horizontal="center" vertical="center"/>
    </xf>
    <xf numFmtId="166" fontId="0" fillId="0" borderId="2" xfId="0" applyNumberFormat="1" applyFont="1" applyFill="1" applyBorder="1" applyAlignment="1" applyProtection="1">
      <alignment horizontal="center" vertical="center"/>
    </xf>
    <xf numFmtId="3" fontId="0" fillId="3" borderId="5" xfId="0" applyNumberFormat="1" applyFont="1" applyFill="1" applyBorder="1" applyAlignment="1" applyProtection="1">
      <alignment horizontal="center" vertical="center"/>
    </xf>
    <xf numFmtId="167" fontId="0" fillId="13" borderId="4" xfId="0" applyNumberFormat="1" applyFont="1" applyFill="1" applyBorder="1" applyAlignment="1" applyProtection="1">
      <alignment horizontal="center" vertical="center"/>
    </xf>
    <xf numFmtId="0" fontId="0" fillId="2" borderId="4" xfId="0" applyFill="1" applyBorder="1" applyAlignment="1" applyProtection="1">
      <alignment vertical="center" wrapText="1"/>
    </xf>
    <xf numFmtId="0" fontId="48" fillId="4" borderId="4" xfId="0" applyFont="1" applyFill="1" applyBorder="1" applyAlignment="1" applyProtection="1">
      <alignment vertical="center" wrapText="1"/>
    </xf>
    <xf numFmtId="0" fontId="57" fillId="4" borderId="42" xfId="0" applyFont="1" applyFill="1" applyBorder="1" applyAlignment="1" applyProtection="1">
      <alignment horizontal="center" vertical="center"/>
    </xf>
    <xf numFmtId="2" fontId="0" fillId="4" borderId="4" xfId="0" applyNumberFormat="1" applyFont="1" applyFill="1" applyBorder="1" applyAlignment="1" applyProtection="1">
      <alignment horizontal="center" vertical="center"/>
    </xf>
    <xf numFmtId="3" fontId="0" fillId="4" borderId="5" xfId="0" applyNumberFormat="1" applyFont="1" applyFill="1" applyBorder="1" applyAlignment="1" applyProtection="1">
      <alignment horizontal="center" vertical="center"/>
    </xf>
    <xf numFmtId="2" fontId="0" fillId="4" borderId="55" xfId="0" applyNumberFormat="1" applyFont="1" applyFill="1" applyBorder="1" applyAlignment="1" applyProtection="1">
      <alignment horizontal="center" vertical="center"/>
    </xf>
    <xf numFmtId="167" fontId="0" fillId="4" borderId="4" xfId="0" applyNumberFormat="1" applyFont="1" applyFill="1" applyBorder="1" applyAlignment="1" applyProtection="1">
      <alignment horizontal="center" vertical="center"/>
    </xf>
    <xf numFmtId="0" fontId="0" fillId="0" borderId="0" xfId="0" applyFont="1" applyBorder="1" applyAlignment="1" applyProtection="1">
      <alignment vertical="center" wrapText="1"/>
    </xf>
    <xf numFmtId="0" fontId="0" fillId="0" borderId="0" xfId="0" applyFont="1" applyBorder="1" applyAlignment="1" applyProtection="1">
      <alignment horizontal="center" vertical="center"/>
    </xf>
    <xf numFmtId="0" fontId="0" fillId="0" borderId="0" xfId="0" applyFont="1" applyFill="1" applyBorder="1" applyAlignment="1" applyProtection="1">
      <alignment horizontal="center" vertical="center"/>
    </xf>
    <xf numFmtId="0" fontId="48" fillId="2" borderId="3" xfId="0" applyFont="1" applyFill="1" applyBorder="1" applyAlignment="1" applyProtection="1">
      <alignment vertical="center" wrapText="1"/>
    </xf>
    <xf numFmtId="3" fontId="52" fillId="3" borderId="3" xfId="0" applyNumberFormat="1" applyFont="1" applyFill="1" applyBorder="1" applyAlignment="1" applyProtection="1">
      <alignment horizontal="center" vertical="center"/>
    </xf>
    <xf numFmtId="0" fontId="0" fillId="8" borderId="20" xfId="0" applyFont="1" applyFill="1" applyBorder="1" applyAlignment="1" applyProtection="1">
      <alignment vertical="center" wrapText="1"/>
    </xf>
    <xf numFmtId="3" fontId="57" fillId="8" borderId="56" xfId="0" applyNumberFormat="1" applyFont="1" applyFill="1" applyBorder="1" applyAlignment="1" applyProtection="1">
      <alignment horizontal="center" vertical="center"/>
    </xf>
    <xf numFmtId="2" fontId="0" fillId="8" borderId="20" xfId="0" applyNumberFormat="1" applyFont="1" applyFill="1" applyBorder="1" applyAlignment="1" applyProtection="1">
      <alignment horizontal="center" vertical="center"/>
    </xf>
    <xf numFmtId="0" fontId="0" fillId="8" borderId="6" xfId="0" applyFont="1" applyFill="1" applyBorder="1" applyAlignment="1" applyProtection="1">
      <alignment horizontal="center" vertical="center"/>
    </xf>
    <xf numFmtId="0" fontId="0" fillId="8" borderId="7" xfId="0" applyFont="1" applyFill="1" applyBorder="1" applyAlignment="1" applyProtection="1">
      <alignment horizontal="center" vertical="center"/>
    </xf>
    <xf numFmtId="2" fontId="0" fillId="8" borderId="57" xfId="0" applyNumberFormat="1" applyFont="1" applyFill="1" applyBorder="1" applyAlignment="1" applyProtection="1">
      <alignment horizontal="center" vertical="center"/>
    </xf>
    <xf numFmtId="167" fontId="0" fillId="8" borderId="20" xfId="0" applyNumberFormat="1" applyFont="1" applyFill="1" applyBorder="1" applyAlignment="1" applyProtection="1">
      <alignment horizontal="center" vertical="center"/>
    </xf>
    <xf numFmtId="166" fontId="0" fillId="8" borderId="6" xfId="0" applyNumberFormat="1" applyFont="1" applyFill="1" applyBorder="1" applyAlignment="1" applyProtection="1">
      <alignment horizontal="center" vertical="center"/>
    </xf>
    <xf numFmtId="3" fontId="0" fillId="8" borderId="7" xfId="0" applyNumberFormat="1" applyFont="1" applyFill="1" applyBorder="1" applyAlignment="1" applyProtection="1">
      <alignment horizontal="center" vertical="center"/>
    </xf>
    <xf numFmtId="0" fontId="49" fillId="0" borderId="42" xfId="0" applyFont="1" applyFill="1" applyBorder="1" applyAlignment="1" applyProtection="1">
      <alignment horizontal="center" vertical="justify"/>
    </xf>
    <xf numFmtId="0" fontId="49" fillId="2" borderId="26" xfId="0" applyFont="1" applyFill="1" applyBorder="1" applyAlignment="1" applyProtection="1">
      <alignment horizontal="center" vertical="center" wrapText="1"/>
    </xf>
    <xf numFmtId="0" fontId="62" fillId="2" borderId="27" xfId="0" applyFont="1" applyFill="1" applyBorder="1" applyAlignment="1" applyProtection="1">
      <alignment horizontal="center" vertical="center" wrapText="1"/>
    </xf>
    <xf numFmtId="0" fontId="62" fillId="13" borderId="27" xfId="0" applyFont="1" applyFill="1" applyBorder="1" applyAlignment="1" applyProtection="1">
      <alignment horizontal="center" vertical="center" wrapText="1"/>
    </xf>
    <xf numFmtId="0" fontId="62" fillId="4" borderId="27" xfId="0" applyFont="1" applyFill="1" applyBorder="1" applyAlignment="1" applyProtection="1">
      <alignment horizontal="center" vertical="center" wrapText="1"/>
    </xf>
    <xf numFmtId="0" fontId="62" fillId="3" borderId="27" xfId="0" applyFont="1" applyFill="1" applyBorder="1" applyAlignment="1" applyProtection="1">
      <alignment horizontal="center" vertical="center" wrapText="1"/>
    </xf>
    <xf numFmtId="0" fontId="62" fillId="3" borderId="28" xfId="0" applyFont="1" applyFill="1" applyBorder="1" applyAlignment="1" applyProtection="1">
      <alignment horizontal="center" vertical="center" wrapText="1"/>
    </xf>
    <xf numFmtId="49" fontId="0" fillId="0" borderId="40" xfId="0" applyNumberFormat="1" applyFont="1" applyBorder="1" applyProtection="1"/>
    <xf numFmtId="0" fontId="48" fillId="4" borderId="41" xfId="0" applyFont="1" applyFill="1" applyBorder="1" applyAlignment="1" applyProtection="1">
      <alignment vertical="center" wrapText="1"/>
    </xf>
    <xf numFmtId="0" fontId="0" fillId="4" borderId="39" xfId="0" applyFont="1" applyFill="1" applyBorder="1" applyAlignment="1" applyProtection="1">
      <alignment horizontal="center" vertical="center"/>
    </xf>
    <xf numFmtId="49" fontId="0" fillId="0" borderId="42" xfId="0" applyNumberFormat="1" applyFont="1" applyBorder="1" applyProtection="1"/>
    <xf numFmtId="3" fontId="57" fillId="2" borderId="2" xfId="0" applyNumberFormat="1" applyFont="1" applyFill="1" applyBorder="1" applyAlignment="1" applyProtection="1">
      <alignment horizontal="center" vertical="center"/>
    </xf>
    <xf numFmtId="0" fontId="0" fillId="13" borderId="2" xfId="0" applyFont="1" applyFill="1" applyBorder="1" applyAlignment="1" applyProtection="1">
      <alignment horizontal="center" vertical="center"/>
    </xf>
    <xf numFmtId="3" fontId="0" fillId="3" borderId="2" xfId="0" applyNumberFormat="1" applyFont="1" applyFill="1" applyBorder="1" applyAlignment="1" applyProtection="1">
      <alignment horizontal="center" vertical="center"/>
    </xf>
    <xf numFmtId="2" fontId="0" fillId="13" borderId="2" xfId="0" applyNumberFormat="1" applyFont="1" applyFill="1" applyBorder="1" applyAlignment="1" applyProtection="1">
      <alignment horizontal="center" vertical="center"/>
    </xf>
    <xf numFmtId="169" fontId="0" fillId="13" borderId="2" xfId="0" applyNumberFormat="1" applyFont="1" applyFill="1" applyBorder="1" applyAlignment="1" applyProtection="1">
      <alignment horizontal="center" vertical="center"/>
    </xf>
    <xf numFmtId="166" fontId="0" fillId="13" borderId="2" xfId="0" applyNumberFormat="1" applyFont="1" applyFill="1" applyBorder="1" applyAlignment="1" applyProtection="1">
      <alignment horizontal="center" vertical="center"/>
    </xf>
    <xf numFmtId="0" fontId="57" fillId="4" borderId="2" xfId="0" applyFont="1" applyFill="1" applyBorder="1" applyAlignment="1" applyProtection="1">
      <alignment horizontal="center" vertical="center"/>
    </xf>
    <xf numFmtId="3" fontId="57" fillId="4" borderId="2" xfId="0" applyNumberFormat="1" applyFont="1" applyFill="1" applyBorder="1" applyAlignment="1" applyProtection="1">
      <alignment horizontal="center" vertical="center"/>
    </xf>
    <xf numFmtId="2" fontId="57" fillId="4" borderId="2" xfId="0" applyNumberFormat="1" applyFont="1" applyFill="1" applyBorder="1" applyAlignment="1" applyProtection="1">
      <alignment horizontal="center" vertical="center"/>
    </xf>
    <xf numFmtId="169" fontId="57" fillId="4" borderId="2" xfId="0" applyNumberFormat="1" applyFont="1" applyFill="1" applyBorder="1" applyAlignment="1" applyProtection="1">
      <alignment horizontal="center" vertical="center"/>
    </xf>
    <xf numFmtId="0" fontId="44" fillId="8" borderId="20" xfId="0" applyFont="1" applyFill="1" applyBorder="1" applyAlignment="1" applyProtection="1">
      <alignment vertical="center" wrapText="1"/>
    </xf>
    <xf numFmtId="3" fontId="55" fillId="8" borderId="6" xfId="0" applyNumberFormat="1" applyFont="1" applyFill="1" applyBorder="1" applyAlignment="1" applyProtection="1">
      <alignment horizontal="center" vertical="center"/>
    </xf>
    <xf numFmtId="2" fontId="44" fillId="8" borderId="6" xfId="0" applyNumberFormat="1" applyFont="1" applyFill="1" applyBorder="1" applyAlignment="1" applyProtection="1">
      <alignment horizontal="center" vertical="center"/>
    </xf>
    <xf numFmtId="169" fontId="44" fillId="8" borderId="6" xfId="0" applyNumberFormat="1" applyFont="1" applyFill="1" applyBorder="1" applyAlignment="1" applyProtection="1">
      <alignment horizontal="center" vertical="center"/>
    </xf>
    <xf numFmtId="0" fontId="44" fillId="8" borderId="7" xfId="0" applyFont="1" applyFill="1" applyBorder="1" applyAlignment="1" applyProtection="1">
      <alignment horizontal="center" vertical="center"/>
    </xf>
    <xf numFmtId="0" fontId="0" fillId="0" borderId="58" xfId="0" applyFont="1" applyFill="1" applyBorder="1" applyAlignment="1" applyProtection="1">
      <alignment horizontal="center" vertical="center"/>
    </xf>
    <xf numFmtId="0" fontId="52" fillId="0" borderId="3" xfId="0" applyFont="1" applyFill="1" applyBorder="1" applyAlignment="1" applyProtection="1">
      <alignment horizontal="left" vertical="justify" indent="1"/>
    </xf>
    <xf numFmtId="0" fontId="56" fillId="2" borderId="0" xfId="0" applyFont="1" applyFill="1" applyProtection="1"/>
    <xf numFmtId="0" fontId="56" fillId="0" borderId="0" xfId="0" applyFont="1" applyFill="1" applyProtection="1"/>
    <xf numFmtId="49" fontId="0" fillId="2" borderId="0" xfId="0" applyNumberFormat="1" applyFont="1" applyFill="1" applyProtection="1"/>
    <xf numFmtId="3" fontId="56" fillId="0" borderId="0" xfId="0" applyNumberFormat="1" applyFont="1" applyFill="1" applyAlignment="1" applyProtection="1"/>
    <xf numFmtId="3" fontId="65" fillId="2" borderId="2" xfId="0" applyNumberFormat="1" applyFont="1" applyFill="1" applyBorder="1" applyAlignment="1" applyProtection="1">
      <alignment horizontal="center" vertical="center"/>
    </xf>
    <xf numFmtId="3" fontId="15" fillId="2" borderId="2" xfId="0" applyNumberFormat="1" applyFont="1" applyFill="1" applyBorder="1" applyAlignment="1" applyProtection="1">
      <alignment horizontal="center" vertical="center"/>
    </xf>
    <xf numFmtId="3" fontId="65" fillId="0" borderId="2" xfId="0" applyNumberFormat="1" applyFont="1" applyFill="1" applyBorder="1" applyAlignment="1" applyProtection="1">
      <alignment horizontal="center" vertical="center"/>
    </xf>
    <xf numFmtId="3" fontId="13" fillId="2" borderId="2" xfId="0" applyNumberFormat="1" applyFont="1" applyFill="1" applyBorder="1" applyAlignment="1" applyProtection="1">
      <alignment horizontal="center" vertical="center"/>
    </xf>
    <xf numFmtId="3" fontId="13" fillId="0" borderId="2" xfId="0" applyNumberFormat="1" applyFont="1" applyFill="1" applyBorder="1" applyAlignment="1" applyProtection="1">
      <alignment horizontal="center" vertical="center"/>
    </xf>
    <xf numFmtId="9" fontId="15" fillId="2" borderId="2" xfId="0" applyNumberFormat="1" applyFont="1" applyFill="1" applyBorder="1" applyAlignment="1" applyProtection="1">
      <alignment horizontal="center" vertical="center"/>
    </xf>
    <xf numFmtId="9" fontId="15" fillId="0" borderId="2" xfId="0" applyNumberFormat="1" applyFont="1" applyFill="1" applyBorder="1" applyAlignment="1" applyProtection="1">
      <alignment horizontal="center" vertical="center"/>
    </xf>
    <xf numFmtId="164" fontId="17" fillId="0" borderId="2" xfId="3" applyFont="1" applyFill="1" applyBorder="1" applyAlignment="1" applyProtection="1">
      <alignment horizontal="center" vertical="center"/>
    </xf>
    <xf numFmtId="0" fontId="15" fillId="8" borderId="6" xfId="0" applyFont="1" applyFill="1" applyBorder="1" applyAlignment="1" applyProtection="1">
      <alignment horizontal="left" vertical="center" wrapText="1" indent="1"/>
    </xf>
    <xf numFmtId="0" fontId="13" fillId="8" borderId="6" xfId="0" applyFont="1" applyFill="1" applyBorder="1" applyAlignment="1" applyProtection="1">
      <alignment horizontal="center" vertical="center"/>
    </xf>
    <xf numFmtId="164" fontId="17" fillId="8" borderId="6" xfId="3" applyFont="1" applyFill="1" applyBorder="1" applyAlignment="1" applyProtection="1">
      <alignment horizontal="center" vertical="center"/>
    </xf>
    <xf numFmtId="165" fontId="15" fillId="8" borderId="6" xfId="0" applyNumberFormat="1" applyFont="1" applyFill="1" applyBorder="1" applyAlignment="1" applyProtection="1">
      <alignment horizontal="center" vertical="center"/>
    </xf>
    <xf numFmtId="44" fontId="17" fillId="8" borderId="6" xfId="0" applyNumberFormat="1" applyFont="1" applyFill="1" applyBorder="1" applyAlignment="1" applyProtection="1">
      <alignment horizontal="center" vertical="center"/>
    </xf>
    <xf numFmtId="165" fontId="15" fillId="8" borderId="7" xfId="0" applyNumberFormat="1" applyFont="1" applyFill="1" applyBorder="1" applyAlignment="1" applyProtection="1">
      <alignment horizontal="center" vertical="center"/>
    </xf>
    <xf numFmtId="164" fontId="17" fillId="0" borderId="2" xfId="3" applyFont="1" applyFill="1" applyBorder="1" applyAlignment="1" applyProtection="1">
      <alignment horizontal="center" vertical="center"/>
      <protection locked="0"/>
    </xf>
    <xf numFmtId="3" fontId="15" fillId="0" borderId="2" xfId="0" applyNumberFormat="1" applyFont="1" applyBorder="1" applyAlignment="1" applyProtection="1">
      <alignment horizontal="center" vertical="center"/>
      <protection locked="0"/>
    </xf>
    <xf numFmtId="0" fontId="13" fillId="2" borderId="2" xfId="4" applyFill="1" applyBorder="1" applyAlignment="1" applyProtection="1">
      <alignment vertical="center" wrapText="1"/>
      <protection locked="0"/>
    </xf>
    <xf numFmtId="0" fontId="10" fillId="11" borderId="2" xfId="4" applyFont="1" applyFill="1" applyBorder="1" applyAlignment="1" applyProtection="1">
      <alignment horizontal="left" vertical="center" wrapText="1"/>
      <protection locked="0"/>
    </xf>
    <xf numFmtId="0" fontId="13" fillId="11" borderId="2" xfId="4" applyFont="1" applyFill="1" applyBorder="1" applyAlignment="1" applyProtection="1">
      <alignment horizontal="left" vertical="center" wrapText="1"/>
      <protection locked="0"/>
    </xf>
    <xf numFmtId="0" fontId="3" fillId="11" borderId="2" xfId="4" applyFont="1" applyFill="1" applyBorder="1" applyAlignment="1" applyProtection="1">
      <alignment horizontal="center" vertical="center" wrapText="1"/>
      <protection locked="0"/>
    </xf>
    <xf numFmtId="0" fontId="10" fillId="12" borderId="2" xfId="4" applyFont="1" applyFill="1" applyBorder="1" applyAlignment="1" applyProtection="1">
      <alignment vertical="center" wrapText="1"/>
      <protection locked="0"/>
    </xf>
    <xf numFmtId="9" fontId="10" fillId="12" borderId="2" xfId="4" applyNumberFormat="1" applyFont="1" applyFill="1" applyBorder="1" applyAlignment="1" applyProtection="1">
      <alignment vertical="center" wrapText="1"/>
      <protection locked="0"/>
    </xf>
    <xf numFmtId="0" fontId="11" fillId="12" borderId="2" xfId="4" applyFont="1" applyFill="1" applyBorder="1" applyAlignment="1" applyProtection="1">
      <alignment horizontal="center" vertical="center" wrapText="1"/>
      <protection locked="0"/>
    </xf>
    <xf numFmtId="0" fontId="40" fillId="2" borderId="2" xfId="4" applyFont="1" applyFill="1" applyBorder="1" applyAlignment="1" applyProtection="1">
      <alignment vertical="center" wrapText="1"/>
      <protection locked="0"/>
    </xf>
    <xf numFmtId="0" fontId="40" fillId="11" borderId="2" xfId="4" applyFont="1" applyFill="1" applyBorder="1" applyAlignment="1" applyProtection="1">
      <alignment vertical="center" wrapText="1"/>
      <protection locked="0"/>
    </xf>
    <xf numFmtId="0" fontId="13" fillId="12" borderId="2" xfId="4" applyFont="1" applyFill="1" applyBorder="1" applyAlignment="1" applyProtection="1">
      <protection locked="0"/>
    </xf>
    <xf numFmtId="0" fontId="3" fillId="12" borderId="2" xfId="4" applyFont="1" applyFill="1" applyBorder="1" applyAlignment="1" applyProtection="1">
      <alignment vertical="center" wrapText="1"/>
      <protection locked="0"/>
    </xf>
    <xf numFmtId="0" fontId="40" fillId="11" borderId="2" xfId="4" applyFont="1" applyFill="1" applyBorder="1" applyAlignment="1" applyProtection="1">
      <alignment horizontal="center" vertical="center" wrapText="1"/>
      <protection locked="0"/>
    </xf>
    <xf numFmtId="0" fontId="11" fillId="12" borderId="2" xfId="4" applyFont="1" applyFill="1" applyBorder="1" applyAlignment="1" applyProtection="1">
      <alignment horizontal="center" vertical="center" wrapText="1" shrinkToFit="1"/>
      <protection locked="0"/>
    </xf>
    <xf numFmtId="0" fontId="10" fillId="12" borderId="6" xfId="4" applyFont="1" applyFill="1" applyBorder="1" applyAlignment="1" applyProtection="1">
      <alignment vertical="center" wrapText="1"/>
      <protection locked="0"/>
    </xf>
    <xf numFmtId="0" fontId="11" fillId="12" borderId="6" xfId="4" applyFont="1" applyFill="1" applyBorder="1" applyAlignment="1" applyProtection="1">
      <alignment horizontal="center" vertical="center" wrapText="1"/>
      <protection locked="0"/>
    </xf>
    <xf numFmtId="0" fontId="3" fillId="11" borderId="2" xfId="4" applyFont="1" applyFill="1" applyBorder="1" applyAlignment="1" applyProtection="1">
      <alignment vertical="center" wrapText="1"/>
      <protection locked="0"/>
    </xf>
    <xf numFmtId="0" fontId="40" fillId="2" borderId="5" xfId="4" applyFont="1" applyFill="1" applyBorder="1" applyAlignment="1" applyProtection="1">
      <alignment vertical="center" wrapText="1"/>
      <protection locked="0"/>
    </xf>
    <xf numFmtId="0" fontId="3" fillId="11" borderId="5" xfId="4" applyFont="1" applyFill="1" applyBorder="1" applyAlignment="1" applyProtection="1">
      <alignment vertical="center" wrapText="1"/>
      <protection locked="0"/>
    </xf>
    <xf numFmtId="0" fontId="11" fillId="12" borderId="5" xfId="4" applyFont="1" applyFill="1" applyBorder="1" applyAlignment="1" applyProtection="1">
      <alignment horizontal="center" vertical="center" wrapText="1"/>
      <protection locked="0"/>
    </xf>
    <xf numFmtId="0" fontId="3" fillId="11" borderId="5" xfId="4" applyFont="1" applyFill="1" applyBorder="1" applyAlignment="1" applyProtection="1">
      <alignment horizontal="center" vertical="center" wrapText="1"/>
      <protection locked="0"/>
    </xf>
    <xf numFmtId="0" fontId="40" fillId="11" borderId="5" xfId="4" applyFont="1" applyFill="1" applyBorder="1" applyAlignment="1" applyProtection="1">
      <alignment vertical="center" wrapText="1"/>
      <protection locked="0"/>
    </xf>
    <xf numFmtId="0" fontId="40" fillId="11" borderId="5" xfId="4" applyFont="1" applyFill="1" applyBorder="1" applyAlignment="1" applyProtection="1">
      <alignment horizontal="center" vertical="center" wrapText="1"/>
      <protection locked="0"/>
    </xf>
    <xf numFmtId="0" fontId="11" fillId="12" borderId="5" xfId="4" applyFont="1" applyFill="1" applyBorder="1" applyAlignment="1" applyProtection="1">
      <alignment horizontal="center" vertical="center" wrapText="1" shrinkToFit="1"/>
      <protection locked="0"/>
    </xf>
    <xf numFmtId="0" fontId="11" fillId="12" borderId="7" xfId="4" applyFont="1" applyFill="1" applyBorder="1" applyAlignment="1" applyProtection="1">
      <alignment horizontal="center" vertical="center" wrapText="1"/>
      <protection locked="0"/>
    </xf>
    <xf numFmtId="9" fontId="73" fillId="0" borderId="2" xfId="0" applyNumberFormat="1" applyFont="1" applyBorder="1" applyAlignment="1" applyProtection="1">
      <alignment horizontal="center" vertical="center" wrapText="1"/>
      <protection locked="0"/>
    </xf>
    <xf numFmtId="0" fontId="73" fillId="0" borderId="2" xfId="0" applyFont="1" applyBorder="1" applyAlignment="1" applyProtection="1">
      <alignment horizontal="center" vertical="center" wrapText="1"/>
      <protection locked="0"/>
    </xf>
    <xf numFmtId="0" fontId="0" fillId="0" borderId="2" xfId="0" applyFont="1" applyBorder="1" applyProtection="1">
      <protection locked="0"/>
    </xf>
    <xf numFmtId="0" fontId="28" fillId="0" borderId="0" xfId="6" applyFont="1" applyAlignment="1" applyProtection="1">
      <alignment horizontal="center" vertical="center" wrapText="1"/>
    </xf>
    <xf numFmtId="0" fontId="13" fillId="0" borderId="0" xfId="6" applyProtection="1"/>
    <xf numFmtId="0" fontId="12" fillId="0" borderId="0" xfId="6" applyFont="1" applyAlignment="1" applyProtection="1">
      <alignment horizontal="center" vertical="center" wrapText="1"/>
    </xf>
    <xf numFmtId="0" fontId="13" fillId="0" borderId="0" xfId="6" applyAlignment="1" applyProtection="1">
      <alignment horizontal="center" vertical="center" wrapText="1"/>
    </xf>
    <xf numFmtId="0" fontId="3" fillId="0" borderId="0" xfId="6" applyFont="1" applyAlignment="1" applyProtection="1">
      <alignment horizontal="center" vertical="center" wrapText="1"/>
    </xf>
    <xf numFmtId="0" fontId="3" fillId="0" borderId="8" xfId="6" applyFont="1" applyFill="1" applyBorder="1" applyAlignment="1" applyProtection="1">
      <alignment vertical="center" wrapText="1"/>
    </xf>
    <xf numFmtId="0" fontId="13" fillId="0" borderId="0" xfId="6" applyFont="1" applyAlignment="1" applyProtection="1">
      <alignment horizontal="left"/>
    </xf>
    <xf numFmtId="0" fontId="3" fillId="0" borderId="4" xfId="6" applyFont="1" applyFill="1" applyBorder="1" applyAlignment="1" applyProtection="1">
      <alignment horizontal="left" vertical="center" wrapText="1"/>
      <protection locked="0"/>
    </xf>
    <xf numFmtId="0" fontId="3" fillId="0" borderId="20" xfId="6" applyFont="1" applyFill="1" applyBorder="1" applyAlignment="1" applyProtection="1">
      <alignment horizontal="left" vertical="center" wrapText="1"/>
      <protection locked="0"/>
    </xf>
    <xf numFmtId="0" fontId="3" fillId="0" borderId="12" xfId="6" applyFont="1" applyFill="1" applyBorder="1" applyAlignment="1" applyProtection="1">
      <alignment horizontal="left" vertical="center" wrapText="1"/>
      <protection locked="0"/>
    </xf>
    <xf numFmtId="0" fontId="49" fillId="2" borderId="0" xfId="0" applyFont="1" applyFill="1" applyAlignment="1" applyProtection="1">
      <alignment horizontal="left" vertical="center"/>
    </xf>
    <xf numFmtId="0" fontId="54" fillId="2" borderId="0" xfId="0" applyFont="1" applyFill="1" applyAlignment="1">
      <alignment vertical="center" wrapText="1"/>
    </xf>
    <xf numFmtId="0" fontId="54" fillId="0" borderId="0" xfId="0" applyFont="1" applyAlignment="1">
      <alignment vertical="center" wrapText="1"/>
    </xf>
    <xf numFmtId="0" fontId="54" fillId="2" borderId="8" xfId="0" applyFont="1" applyFill="1" applyBorder="1" applyAlignment="1">
      <alignment horizontal="center" vertical="center" wrapText="1"/>
    </xf>
    <xf numFmtId="49" fontId="54" fillId="2" borderId="41" xfId="0" applyNumberFormat="1" applyFont="1" applyFill="1" applyBorder="1" applyAlignment="1">
      <alignment horizontal="center" vertical="center" wrapText="1"/>
    </xf>
    <xf numFmtId="0" fontId="54" fillId="2" borderId="44" xfId="0" applyFont="1" applyFill="1" applyBorder="1" applyAlignment="1">
      <alignment horizontal="center" vertical="center" wrapText="1"/>
    </xf>
    <xf numFmtId="49" fontId="54" fillId="2" borderId="4" xfId="0" applyNumberFormat="1" applyFont="1" applyFill="1" applyBorder="1" applyAlignment="1">
      <alignment horizontal="center" vertical="center" wrapText="1"/>
    </xf>
    <xf numFmtId="0" fontId="54" fillId="2" borderId="2" xfId="0" applyFont="1" applyFill="1" applyBorder="1" applyAlignment="1">
      <alignment horizontal="center" vertical="center" wrapText="1"/>
    </xf>
    <xf numFmtId="165" fontId="51" fillId="2" borderId="55" xfId="7" applyNumberFormat="1" applyFont="1" applyFill="1" applyBorder="1" applyAlignment="1">
      <alignment horizontal="center" vertical="center" wrapText="1"/>
    </xf>
    <xf numFmtId="165" fontId="51" fillId="2" borderId="5" xfId="0" applyNumberFormat="1" applyFont="1" applyFill="1" applyBorder="1" applyAlignment="1">
      <alignment horizontal="center" vertical="center" wrapText="1"/>
    </xf>
    <xf numFmtId="167" fontId="54" fillId="2" borderId="39" xfId="0" applyNumberFormat="1" applyFont="1" applyFill="1" applyBorder="1" applyAlignment="1">
      <alignment horizontal="center" vertical="center" wrapText="1"/>
    </xf>
    <xf numFmtId="165" fontId="54" fillId="2" borderId="39" xfId="7" applyNumberFormat="1" applyFont="1" applyFill="1" applyBorder="1" applyAlignment="1">
      <alignment horizontal="center" vertical="center" wrapText="1"/>
    </xf>
    <xf numFmtId="165" fontId="54" fillId="2" borderId="25" xfId="7" applyNumberFormat="1" applyFont="1" applyFill="1" applyBorder="1" applyAlignment="1">
      <alignment horizontal="center" vertical="center" wrapText="1"/>
    </xf>
    <xf numFmtId="167" fontId="54" fillId="2" borderId="2" xfId="0" applyNumberFormat="1" applyFont="1" applyFill="1" applyBorder="1" applyAlignment="1">
      <alignment horizontal="center" vertical="center" wrapText="1"/>
    </xf>
    <xf numFmtId="165" fontId="54" fillId="2" borderId="2" xfId="7" applyNumberFormat="1" applyFont="1" applyFill="1" applyBorder="1" applyAlignment="1">
      <alignment horizontal="center" vertical="center" wrapText="1"/>
    </xf>
    <xf numFmtId="165" fontId="54" fillId="2" borderId="5" xfId="7" applyNumberFormat="1" applyFont="1" applyFill="1" applyBorder="1" applyAlignment="1">
      <alignment horizontal="center" vertical="center" wrapText="1"/>
    </xf>
    <xf numFmtId="0" fontId="54" fillId="2" borderId="2" xfId="0" applyFont="1" applyFill="1" applyBorder="1" applyAlignment="1">
      <alignment vertical="center" wrapText="1"/>
    </xf>
    <xf numFmtId="0" fontId="54" fillId="8" borderId="6" xfId="0" applyFont="1" applyFill="1" applyBorder="1" applyAlignment="1">
      <alignment vertical="center" wrapText="1"/>
    </xf>
    <xf numFmtId="0" fontId="54" fillId="8" borderId="20" xfId="0" applyFont="1" applyFill="1" applyBorder="1" applyAlignment="1">
      <alignment vertical="center" wrapText="1"/>
    </xf>
    <xf numFmtId="165" fontId="74" fillId="8" borderId="6" xfId="0" applyNumberFormat="1" applyFont="1" applyFill="1" applyBorder="1" applyAlignment="1">
      <alignment horizontal="center" vertical="center" wrapText="1"/>
    </xf>
    <xf numFmtId="165" fontId="74" fillId="8" borderId="7" xfId="7" applyNumberFormat="1" applyFont="1" applyFill="1" applyBorder="1" applyAlignment="1">
      <alignment horizontal="center" vertical="center" wrapText="1"/>
    </xf>
    <xf numFmtId="0" fontId="74" fillId="0" borderId="0" xfId="0" applyFont="1" applyAlignment="1">
      <alignment vertical="center" wrapText="1"/>
    </xf>
    <xf numFmtId="0" fontId="74" fillId="2" borderId="41" xfId="0" applyFont="1" applyFill="1" applyBorder="1" applyAlignment="1">
      <alignment vertical="center" wrapText="1"/>
    </xf>
    <xf numFmtId="3" fontId="74" fillId="2" borderId="25" xfId="0" applyNumberFormat="1" applyFont="1" applyFill="1" applyBorder="1" applyAlignment="1">
      <alignment horizontal="center" vertical="center" wrapText="1"/>
    </xf>
    <xf numFmtId="0" fontId="74" fillId="0" borderId="0" xfId="0" applyFont="1" applyAlignment="1">
      <alignment horizontal="center" vertical="center" wrapText="1"/>
    </xf>
    <xf numFmtId="0" fontId="74" fillId="2" borderId="4" xfId="0" applyFont="1" applyFill="1" applyBorder="1" applyAlignment="1">
      <alignment vertical="center" wrapText="1"/>
    </xf>
    <xf numFmtId="3" fontId="74" fillId="2" borderId="5" xfId="0" applyNumberFormat="1" applyFont="1" applyFill="1" applyBorder="1" applyAlignment="1">
      <alignment horizontal="center" vertical="center" wrapText="1"/>
    </xf>
    <xf numFmtId="0" fontId="74" fillId="2" borderId="20" xfId="0" applyFont="1" applyFill="1" applyBorder="1" applyAlignment="1">
      <alignment vertical="center" wrapText="1"/>
    </xf>
    <xf numFmtId="165" fontId="74" fillId="2" borderId="7" xfId="0" applyNumberFormat="1" applyFont="1" applyFill="1" applyBorder="1" applyAlignment="1">
      <alignment horizontal="center" vertical="center" wrapText="1"/>
    </xf>
    <xf numFmtId="0" fontId="48" fillId="0" borderId="0" xfId="0" applyFont="1" applyFill="1" applyAlignment="1" applyProtection="1">
      <alignment horizontal="left" vertical="center"/>
    </xf>
    <xf numFmtId="0" fontId="49" fillId="2" borderId="0" xfId="0" applyFont="1" applyFill="1" applyAlignment="1" applyProtection="1">
      <alignment vertical="center"/>
    </xf>
    <xf numFmtId="0" fontId="49" fillId="0" borderId="0" xfId="0" applyFont="1" applyFill="1" applyAlignment="1" applyProtection="1">
      <alignment vertical="center"/>
    </xf>
    <xf numFmtId="0" fontId="8" fillId="17" borderId="59" xfId="0" applyFont="1" applyFill="1" applyBorder="1" applyAlignment="1" applyProtection="1">
      <alignment horizontal="left" vertical="center" wrapText="1" indent="1"/>
    </xf>
    <xf numFmtId="3" fontId="0" fillId="8" borderId="22" xfId="0" applyNumberFormat="1" applyFont="1" applyFill="1" applyBorder="1" applyAlignment="1" applyProtection="1">
      <alignment horizontal="center" vertical="center" wrapText="1"/>
    </xf>
    <xf numFmtId="3" fontId="0" fillId="8" borderId="23" xfId="0" applyNumberFormat="1" applyFont="1" applyFill="1" applyBorder="1" applyAlignment="1" applyProtection="1">
      <alignment horizontal="center" vertical="center" wrapText="1"/>
    </xf>
    <xf numFmtId="165" fontId="0" fillId="8" borderId="24" xfId="0" applyNumberFormat="1" applyFont="1" applyFill="1" applyBorder="1" applyAlignment="1" applyProtection="1">
      <alignment horizontal="center" vertical="center" wrapText="1"/>
    </xf>
    <xf numFmtId="165" fontId="0" fillId="8" borderId="59" xfId="0" applyNumberFormat="1" applyFont="1" applyFill="1" applyBorder="1" applyAlignment="1" applyProtection="1">
      <alignment horizontal="center" vertical="center" wrapText="1"/>
    </xf>
    <xf numFmtId="3" fontId="0" fillId="8" borderId="60" xfId="0" applyNumberFormat="1" applyFont="1" applyFill="1" applyBorder="1" applyAlignment="1" applyProtection="1">
      <alignment horizontal="center" vertical="center" wrapText="1"/>
    </xf>
    <xf numFmtId="165" fontId="0" fillId="8" borderId="61" xfId="0" applyNumberFormat="1" applyFont="1" applyFill="1" applyBorder="1" applyAlignment="1" applyProtection="1">
      <alignment horizontal="center" vertical="center" wrapText="1"/>
    </xf>
    <xf numFmtId="0" fontId="77" fillId="2" borderId="5" xfId="6" applyFont="1" applyFill="1" applyBorder="1" applyAlignment="1">
      <alignment horizontal="left" vertical="center" wrapText="1" indent="2"/>
    </xf>
    <xf numFmtId="3" fontId="49" fillId="8" borderId="23" xfId="0" applyNumberFormat="1" applyFont="1" applyFill="1" applyBorder="1" applyAlignment="1">
      <alignment horizontal="center" vertical="center" wrapText="1"/>
    </xf>
    <xf numFmtId="0" fontId="54" fillId="8" borderId="22" xfId="0" applyFont="1" applyFill="1" applyBorder="1" applyAlignment="1">
      <alignment horizontal="center" vertical="center" wrapText="1"/>
    </xf>
    <xf numFmtId="0" fontId="54" fillId="8" borderId="23" xfId="0" applyFont="1" applyFill="1" applyBorder="1" applyAlignment="1">
      <alignment horizontal="center" vertical="center" wrapText="1"/>
    </xf>
    <xf numFmtId="0" fontId="54" fillId="8" borderId="23" xfId="0" applyFont="1" applyFill="1" applyBorder="1" applyAlignment="1">
      <alignment vertical="center" wrapText="1"/>
    </xf>
    <xf numFmtId="167" fontId="54" fillId="8" borderId="23" xfId="0" applyNumberFormat="1" applyFont="1" applyFill="1" applyBorder="1" applyAlignment="1">
      <alignment horizontal="center" vertical="center" wrapText="1"/>
    </xf>
    <xf numFmtId="0" fontId="54" fillId="8" borderId="24" xfId="0" applyFont="1" applyFill="1" applyBorder="1" applyAlignment="1">
      <alignment horizontal="center" vertical="center" wrapText="1"/>
    </xf>
    <xf numFmtId="49" fontId="54" fillId="2" borderId="20" xfId="0" applyNumberFormat="1" applyFont="1" applyFill="1" applyBorder="1" applyAlignment="1">
      <alignment horizontal="center" vertical="center" wrapText="1"/>
    </xf>
    <xf numFmtId="0" fontId="54" fillId="2" borderId="23" xfId="0" applyFont="1" applyFill="1" applyBorder="1" applyAlignment="1">
      <alignment horizontal="center" vertical="center" wrapText="1"/>
    </xf>
    <xf numFmtId="0" fontId="54" fillId="2" borderId="6" xfId="0" applyFont="1" applyFill="1" applyBorder="1" applyAlignment="1">
      <alignment vertical="center" wrapText="1"/>
    </xf>
    <xf numFmtId="167" fontId="54" fillId="2" borderId="6" xfId="0" applyNumberFormat="1" applyFont="1" applyFill="1" applyBorder="1" applyAlignment="1">
      <alignment horizontal="center" vertical="center" wrapText="1"/>
    </xf>
    <xf numFmtId="165" fontId="54" fillId="2" borderId="6" xfId="7" applyNumberFormat="1" applyFont="1" applyFill="1" applyBorder="1" applyAlignment="1">
      <alignment horizontal="center" vertical="center" wrapText="1"/>
    </xf>
    <xf numFmtId="165" fontId="54" fillId="2" borderId="7" xfId="7" applyNumberFormat="1" applyFont="1" applyFill="1" applyBorder="1" applyAlignment="1">
      <alignment horizontal="center" vertical="center" wrapText="1"/>
    </xf>
    <xf numFmtId="9" fontId="54" fillId="8" borderId="23" xfId="7" applyFont="1" applyFill="1" applyBorder="1" applyAlignment="1">
      <alignment horizontal="center" vertical="center" wrapText="1"/>
    </xf>
    <xf numFmtId="0" fontId="54" fillId="2" borderId="6" xfId="0" applyFont="1" applyFill="1" applyBorder="1" applyAlignment="1" applyProtection="1">
      <alignment vertical="center" wrapText="1"/>
    </xf>
    <xf numFmtId="0" fontId="21" fillId="8" borderId="61" xfId="0" applyFont="1" applyFill="1" applyBorder="1" applyAlignment="1">
      <alignment vertical="center" wrapText="1"/>
    </xf>
    <xf numFmtId="3" fontId="51" fillId="8" borderId="23" xfId="0" applyNumberFormat="1" applyFont="1" applyFill="1" applyBorder="1" applyAlignment="1">
      <alignment horizontal="center" vertical="center" wrapText="1"/>
    </xf>
    <xf numFmtId="165" fontId="51" fillId="8" borderId="60" xfId="7" applyNumberFormat="1" applyFont="1" applyFill="1" applyBorder="1" applyAlignment="1">
      <alignment horizontal="center" vertical="center" wrapText="1"/>
    </xf>
    <xf numFmtId="0" fontId="51" fillId="8" borderId="24" xfId="0" applyFont="1" applyFill="1" applyBorder="1" applyAlignment="1">
      <alignment horizontal="center" vertical="center" wrapText="1"/>
    </xf>
    <xf numFmtId="49" fontId="54" fillId="2" borderId="12" xfId="0" applyNumberFormat="1" applyFont="1" applyFill="1" applyBorder="1" applyAlignment="1">
      <alignment horizontal="center" vertical="center" wrapText="1"/>
    </xf>
    <xf numFmtId="0" fontId="54" fillId="2" borderId="16" xfId="0" applyFont="1" applyFill="1" applyBorder="1" applyAlignment="1">
      <alignment horizontal="center" vertical="center" wrapText="1"/>
    </xf>
    <xf numFmtId="165" fontId="51" fillId="2" borderId="54" xfId="7" applyNumberFormat="1" applyFont="1" applyFill="1" applyBorder="1" applyAlignment="1">
      <alignment horizontal="center" vertical="center" wrapText="1"/>
    </xf>
    <xf numFmtId="165" fontId="51" fillId="2" borderId="18" xfId="7" applyNumberFormat="1" applyFont="1" applyFill="1" applyBorder="1" applyAlignment="1">
      <alignment horizontal="center" vertical="center" wrapText="1"/>
    </xf>
    <xf numFmtId="165" fontId="51" fillId="2" borderId="57" xfId="7" applyNumberFormat="1" applyFont="1" applyFill="1" applyBorder="1" applyAlignment="1">
      <alignment horizontal="center" vertical="center" wrapText="1"/>
    </xf>
    <xf numFmtId="165" fontId="51" fillId="2" borderId="7" xfId="0" applyNumberFormat="1" applyFont="1" applyFill="1" applyBorder="1" applyAlignment="1">
      <alignment horizontal="center" vertical="center" wrapText="1"/>
    </xf>
    <xf numFmtId="0" fontId="55" fillId="0" borderId="0" xfId="0" applyFont="1" applyFill="1" applyAlignment="1" applyProtection="1">
      <alignment horizontal="left" vertical="center"/>
    </xf>
    <xf numFmtId="37" fontId="75" fillId="0" borderId="2" xfId="0" applyNumberFormat="1" applyFont="1" applyBorder="1" applyAlignment="1" applyProtection="1">
      <alignment horizontal="center" vertical="center"/>
      <protection locked="0"/>
    </xf>
    <xf numFmtId="165" fontId="20" fillId="4" borderId="2" xfId="0" applyNumberFormat="1" applyFont="1" applyFill="1" applyBorder="1" applyAlignment="1">
      <alignment horizontal="center" vertical="center"/>
    </xf>
    <xf numFmtId="165" fontId="20" fillId="4" borderId="6" xfId="0" applyNumberFormat="1" applyFont="1" applyFill="1" applyBorder="1" applyAlignment="1">
      <alignment horizontal="center" vertical="center"/>
    </xf>
    <xf numFmtId="0" fontId="51" fillId="2" borderId="0" xfId="0" applyFont="1" applyFill="1" applyAlignment="1" applyProtection="1">
      <alignment vertical="center"/>
    </xf>
    <xf numFmtId="0" fontId="51" fillId="0" borderId="0" xfId="0" applyFont="1" applyAlignment="1" applyProtection="1">
      <alignment vertical="center"/>
    </xf>
    <xf numFmtId="0" fontId="51" fillId="0" borderId="0" xfId="0" applyFont="1" applyAlignment="1">
      <alignment vertical="center"/>
    </xf>
    <xf numFmtId="0" fontId="51" fillId="0" borderId="0" xfId="0" applyFont="1" applyAlignment="1" applyProtection="1">
      <alignment horizontal="center" vertical="center" wrapText="1"/>
    </xf>
    <xf numFmtId="3" fontId="51" fillId="2" borderId="2" xfId="0" applyNumberFormat="1" applyFont="1" applyFill="1" applyBorder="1" applyAlignment="1">
      <alignment horizontal="center" vertical="center"/>
    </xf>
    <xf numFmtId="0" fontId="51" fillId="2" borderId="5" xfId="0" applyFont="1" applyFill="1" applyBorder="1" applyAlignment="1" applyProtection="1">
      <alignment horizontal="center" vertical="center"/>
    </xf>
    <xf numFmtId="0" fontId="49" fillId="2" borderId="18" xfId="0" applyFont="1" applyFill="1" applyBorder="1" applyAlignment="1" applyProtection="1">
      <alignment horizontal="center" vertical="center" wrapText="1"/>
    </xf>
    <xf numFmtId="165" fontId="51" fillId="2" borderId="2" xfId="0" applyNumberFormat="1" applyFont="1" applyFill="1" applyBorder="1" applyAlignment="1" applyProtection="1">
      <alignment horizontal="center" vertical="center"/>
    </xf>
    <xf numFmtId="0" fontId="51" fillId="2" borderId="20" xfId="0" applyFont="1" applyFill="1" applyBorder="1" applyAlignment="1" applyProtection="1">
      <alignment horizontal="center" vertical="center"/>
    </xf>
    <xf numFmtId="0" fontId="51" fillId="2" borderId="6" xfId="0" applyFont="1" applyFill="1" applyBorder="1" applyAlignment="1" applyProtection="1">
      <alignment horizontal="center" vertical="center"/>
    </xf>
    <xf numFmtId="165" fontId="51" fillId="2" borderId="6" xfId="0" applyNumberFormat="1" applyFont="1" applyFill="1" applyBorder="1" applyAlignment="1" applyProtection="1">
      <alignment horizontal="center" vertical="center"/>
    </xf>
    <xf numFmtId="0" fontId="51" fillId="2" borderId="7" xfId="0" applyFont="1" applyFill="1" applyBorder="1" applyAlignment="1" applyProtection="1">
      <alignment horizontal="center" vertical="center"/>
    </xf>
    <xf numFmtId="0" fontId="51" fillId="2" borderId="0" xfId="0" applyFont="1" applyFill="1" applyBorder="1" applyAlignment="1" applyProtection="1">
      <alignment horizontal="center" vertical="center"/>
    </xf>
    <xf numFmtId="0" fontId="51" fillId="0" borderId="0" xfId="0" applyFont="1" applyFill="1" applyBorder="1" applyAlignment="1" applyProtection="1">
      <alignment horizontal="center" vertical="center"/>
    </xf>
    <xf numFmtId="165" fontId="51" fillId="0" borderId="0" xfId="0" applyNumberFormat="1" applyFont="1" applyFill="1" applyBorder="1" applyAlignment="1" applyProtection="1">
      <alignment horizontal="center" vertical="center"/>
    </xf>
    <xf numFmtId="0" fontId="51" fillId="0" borderId="0" xfId="0" applyFont="1" applyFill="1" applyBorder="1" applyAlignment="1" applyProtection="1">
      <alignment vertical="center"/>
    </xf>
    <xf numFmtId="3" fontId="51" fillId="0" borderId="6" xfId="0" applyNumberFormat="1" applyFont="1" applyBorder="1" applyAlignment="1" applyProtection="1">
      <alignment horizontal="center" vertical="center"/>
      <protection locked="0"/>
    </xf>
    <xf numFmtId="0" fontId="51" fillId="0" borderId="0" xfId="0" applyFont="1" applyFill="1" applyBorder="1" applyAlignment="1" applyProtection="1">
      <alignment horizontal="center" vertical="center" wrapText="1"/>
    </xf>
    <xf numFmtId="0" fontId="49" fillId="2" borderId="2" xfId="0" applyFont="1" applyFill="1" applyBorder="1" applyAlignment="1" applyProtection="1">
      <alignment horizontal="center" vertical="center" wrapText="1"/>
    </xf>
    <xf numFmtId="0" fontId="49" fillId="2" borderId="4" xfId="0" applyFont="1" applyFill="1" applyBorder="1" applyAlignment="1" applyProtection="1">
      <alignment horizontal="center" vertical="center" wrapText="1"/>
    </xf>
    <xf numFmtId="165" fontId="51" fillId="2" borderId="5" xfId="7" applyNumberFormat="1" applyFont="1" applyFill="1" applyBorder="1" applyAlignment="1">
      <alignment horizontal="center" vertical="center"/>
    </xf>
    <xf numFmtId="0" fontId="51" fillId="2" borderId="62" xfId="0" applyFont="1" applyFill="1" applyBorder="1" applyAlignment="1" applyProtection="1">
      <alignment horizontal="left" vertical="center"/>
    </xf>
    <xf numFmtId="0" fontId="50" fillId="2" borderId="42" xfId="0" applyFont="1" applyFill="1" applyBorder="1" applyAlignment="1" applyProtection="1">
      <alignment horizontal="center" vertical="center" wrapText="1"/>
    </xf>
    <xf numFmtId="0" fontId="50" fillId="2" borderId="5" xfId="0" applyFont="1" applyFill="1" applyBorder="1" applyAlignment="1" applyProtection="1">
      <alignment horizontal="center" vertical="center" wrapText="1"/>
    </xf>
    <xf numFmtId="3" fontId="51" fillId="0" borderId="20" xfId="0" applyNumberFormat="1" applyFont="1" applyBorder="1" applyAlignment="1" applyProtection="1">
      <alignment horizontal="center" vertical="center"/>
      <protection locked="0"/>
    </xf>
    <xf numFmtId="0" fontId="49" fillId="2" borderId="63" xfId="0" applyFont="1" applyFill="1" applyBorder="1" applyAlignment="1" applyProtection="1">
      <alignment horizontal="center" vertical="center" wrapText="1"/>
    </xf>
    <xf numFmtId="0" fontId="51" fillId="2" borderId="64" xfId="0" applyFont="1" applyFill="1" applyBorder="1" applyAlignment="1" applyProtection="1">
      <alignment vertical="center" wrapText="1"/>
    </xf>
    <xf numFmtId="3" fontId="51" fillId="0" borderId="56" xfId="0" applyNumberFormat="1" applyFont="1" applyBorder="1" applyAlignment="1" applyProtection="1">
      <alignment horizontal="center" vertical="center"/>
      <protection locked="0"/>
    </xf>
    <xf numFmtId="3" fontId="51" fillId="0" borderId="7" xfId="0" applyNumberFormat="1" applyFont="1" applyFill="1" applyBorder="1" applyAlignment="1" applyProtection="1">
      <alignment horizontal="center" vertical="center"/>
      <protection locked="0"/>
    </xf>
    <xf numFmtId="0" fontId="49" fillId="2" borderId="14" xfId="0" applyFont="1" applyFill="1" applyBorder="1" applyAlignment="1" applyProtection="1">
      <alignment horizontal="center" vertical="center" wrapText="1"/>
    </xf>
    <xf numFmtId="0" fontId="56" fillId="2" borderId="62" xfId="0" applyFont="1" applyFill="1" applyBorder="1" applyAlignment="1" applyProtection="1">
      <alignment vertical="center" wrapText="1"/>
    </xf>
    <xf numFmtId="0" fontId="56" fillId="2" borderId="65" xfId="0" applyFont="1" applyFill="1" applyBorder="1" applyAlignment="1" applyProtection="1">
      <alignment vertical="center" wrapText="1"/>
    </xf>
    <xf numFmtId="0" fontId="49" fillId="2" borderId="66" xfId="0" applyFont="1" applyFill="1" applyBorder="1" applyAlignment="1" applyProtection="1">
      <alignment horizontal="justify" vertical="center"/>
    </xf>
    <xf numFmtId="0" fontId="51" fillId="2" borderId="41" xfId="0" applyFont="1" applyFill="1" applyBorder="1" applyAlignment="1" applyProtection="1">
      <alignment horizontal="center" vertical="center"/>
    </xf>
    <xf numFmtId="0" fontId="51" fillId="2" borderId="25" xfId="0" applyFont="1" applyFill="1" applyBorder="1" applyAlignment="1" applyProtection="1">
      <alignment horizontal="center" vertical="center"/>
    </xf>
    <xf numFmtId="0" fontId="49" fillId="8" borderId="67" xfId="0" applyFont="1" applyFill="1" applyBorder="1" applyAlignment="1" applyProtection="1">
      <alignment horizontal="justify" vertical="center"/>
    </xf>
    <xf numFmtId="0" fontId="49" fillId="8" borderId="8" xfId="0" applyFont="1" applyFill="1" applyBorder="1" applyAlignment="1" applyProtection="1">
      <alignment horizontal="center" vertical="center"/>
    </xf>
    <xf numFmtId="0" fontId="51" fillId="2" borderId="68" xfId="0" applyFont="1" applyFill="1" applyBorder="1" applyAlignment="1" applyProtection="1">
      <alignment horizontal="left" vertical="center"/>
    </xf>
    <xf numFmtId="0" fontId="51" fillId="2" borderId="40" xfId="0" applyFont="1" applyFill="1" applyBorder="1" applyAlignment="1" applyProtection="1">
      <alignment horizontal="center" vertical="center"/>
    </xf>
    <xf numFmtId="0" fontId="78" fillId="2" borderId="12" xfId="0" applyFont="1" applyFill="1" applyBorder="1" applyAlignment="1" applyProtection="1">
      <alignment horizontal="center" vertical="center" wrapText="1"/>
    </xf>
    <xf numFmtId="0" fontId="78" fillId="2" borderId="18" xfId="0" applyFont="1" applyFill="1" applyBorder="1" applyAlignment="1" applyProtection="1">
      <alignment horizontal="center" vertical="center" wrapText="1"/>
    </xf>
    <xf numFmtId="0" fontId="49" fillId="2" borderId="62" xfId="0" applyFont="1" applyFill="1" applyBorder="1" applyAlignment="1" applyProtection="1">
      <alignment horizontal="left" vertical="center" wrapText="1"/>
    </xf>
    <xf numFmtId="0" fontId="51" fillId="2" borderId="62" xfId="0" applyFont="1" applyFill="1" applyBorder="1" applyAlignment="1" applyProtection="1">
      <alignment horizontal="left" vertical="center" wrapText="1"/>
    </xf>
    <xf numFmtId="0" fontId="51" fillId="2" borderId="68" xfId="0" applyFont="1" applyFill="1" applyBorder="1" applyAlignment="1" applyProtection="1">
      <alignment horizontal="left" vertical="center" wrapText="1"/>
    </xf>
    <xf numFmtId="0" fontId="78" fillId="2" borderId="14" xfId="0" applyFont="1" applyFill="1" applyBorder="1" applyAlignment="1" applyProtection="1">
      <alignment horizontal="center" vertical="center" wrapText="1"/>
    </xf>
    <xf numFmtId="0" fontId="78" fillId="2" borderId="53" xfId="0" applyFont="1" applyFill="1" applyBorder="1" applyAlignment="1" applyProtection="1">
      <alignment horizontal="center" vertical="center" wrapText="1"/>
    </xf>
    <xf numFmtId="0" fontId="49" fillId="2" borderId="15" xfId="0" applyFont="1" applyFill="1" applyBorder="1" applyAlignment="1">
      <alignment horizontal="center" vertical="center" wrapText="1"/>
    </xf>
    <xf numFmtId="0" fontId="49" fillId="2" borderId="16" xfId="0" applyFont="1" applyFill="1" applyBorder="1" applyAlignment="1">
      <alignment horizontal="center" vertical="center" wrapText="1"/>
    </xf>
    <xf numFmtId="0" fontId="49" fillId="2" borderId="17" xfId="0" applyFont="1" applyFill="1" applyBorder="1" applyAlignment="1">
      <alignment horizontal="center" vertical="center" wrapText="1"/>
    </xf>
    <xf numFmtId="0" fontId="49" fillId="8" borderId="22" xfId="0" applyFont="1" applyFill="1" applyBorder="1" applyAlignment="1">
      <alignment horizontal="left" vertical="center" wrapText="1" indent="1"/>
    </xf>
    <xf numFmtId="3" fontId="49" fillId="8" borderId="23" xfId="0" applyNumberFormat="1" applyFont="1" applyFill="1" applyBorder="1" applyAlignment="1">
      <alignment horizontal="center" vertical="center"/>
    </xf>
    <xf numFmtId="3" fontId="49" fillId="8" borderId="24" xfId="0" applyNumberFormat="1" applyFont="1" applyFill="1" applyBorder="1" applyAlignment="1">
      <alignment horizontal="center" vertical="center"/>
    </xf>
    <xf numFmtId="0" fontId="56" fillId="2" borderId="12" xfId="0" applyFont="1" applyFill="1" applyBorder="1" applyAlignment="1">
      <alignment horizontal="left" vertical="center" wrapText="1" indent="1"/>
    </xf>
    <xf numFmtId="3" fontId="56" fillId="2" borderId="18" xfId="0" applyNumberFormat="1" applyFont="1" applyFill="1" applyBorder="1" applyAlignment="1">
      <alignment horizontal="center" vertical="center"/>
    </xf>
    <xf numFmtId="3" fontId="56" fillId="2" borderId="7" xfId="0" applyNumberFormat="1" applyFont="1" applyFill="1" applyBorder="1" applyAlignment="1">
      <alignment horizontal="center" vertical="center"/>
    </xf>
    <xf numFmtId="3" fontId="79" fillId="0" borderId="2" xfId="0" applyNumberFormat="1" applyFont="1" applyBorder="1" applyAlignment="1" applyProtection="1">
      <alignment horizontal="center" vertical="center"/>
      <protection locked="0"/>
    </xf>
    <xf numFmtId="3" fontId="76" fillId="0" borderId="2" xfId="0" applyNumberFormat="1" applyFont="1" applyBorder="1" applyAlignment="1" applyProtection="1">
      <alignment horizontal="center" vertical="center"/>
      <protection locked="0"/>
    </xf>
    <xf numFmtId="3" fontId="79" fillId="0" borderId="55" xfId="0" applyNumberFormat="1" applyFont="1" applyBorder="1" applyAlignment="1" applyProtection="1">
      <alignment horizontal="center" vertical="center"/>
      <protection locked="0"/>
    </xf>
    <xf numFmtId="3" fontId="63" fillId="0" borderId="2" xfId="0" applyNumberFormat="1" applyFont="1" applyBorder="1" applyAlignment="1" applyProtection="1">
      <alignment horizontal="center" vertical="center"/>
      <protection locked="0"/>
    </xf>
    <xf numFmtId="165" fontId="0" fillId="8" borderId="22" xfId="0" applyNumberFormat="1" applyFont="1" applyFill="1" applyBorder="1" applyAlignment="1" applyProtection="1">
      <alignment horizontal="center" vertical="center" wrapText="1"/>
    </xf>
    <xf numFmtId="165" fontId="0" fillId="8" borderId="23" xfId="0" applyNumberFormat="1" applyFont="1" applyFill="1" applyBorder="1" applyAlignment="1" applyProtection="1">
      <alignment horizontal="center" vertical="center" wrapText="1"/>
    </xf>
    <xf numFmtId="168" fontId="57" fillId="0" borderId="2" xfId="0" applyNumberFormat="1" applyFont="1" applyFill="1" applyBorder="1" applyAlignment="1" applyProtection="1">
      <alignment horizontal="center" vertical="top" wrapText="1"/>
      <protection locked="0"/>
    </xf>
    <xf numFmtId="165" fontId="57" fillId="0" borderId="2" xfId="0" applyNumberFormat="1" applyFont="1" applyFill="1" applyBorder="1" applyAlignment="1" applyProtection="1">
      <alignment horizontal="center" vertical="top" wrapText="1"/>
      <protection locked="0"/>
    </xf>
    <xf numFmtId="0" fontId="5" fillId="14" borderId="4" xfId="0" applyFont="1" applyFill="1" applyBorder="1" applyAlignment="1" applyProtection="1">
      <alignment horizontal="left" vertical="center" wrapText="1" indent="1"/>
    </xf>
    <xf numFmtId="0" fontId="61" fillId="7" borderId="2" xfId="0" applyFont="1" applyFill="1" applyBorder="1" applyAlignment="1" applyProtection="1">
      <alignment horizontal="center" vertical="center" wrapText="1"/>
    </xf>
    <xf numFmtId="168" fontId="57" fillId="7" borderId="5" xfId="0" applyNumberFormat="1" applyFont="1" applyFill="1" applyBorder="1" applyAlignment="1" applyProtection="1">
      <alignment horizontal="center" vertical="center" wrapText="1"/>
    </xf>
    <xf numFmtId="0" fontId="37" fillId="2" borderId="12" xfId="0" applyFont="1" applyFill="1" applyBorder="1" applyAlignment="1" applyProtection="1">
      <alignment horizontal="center" vertical="center" wrapText="1"/>
    </xf>
    <xf numFmtId="0" fontId="37" fillId="2" borderId="11" xfId="0" applyFont="1" applyFill="1" applyBorder="1" applyAlignment="1" applyProtection="1">
      <alignment horizontal="center" vertical="center" wrapText="1"/>
    </xf>
    <xf numFmtId="0" fontId="37" fillId="2" borderId="18" xfId="0" applyFont="1" applyFill="1" applyBorder="1" applyAlignment="1" applyProtection="1">
      <alignment horizontal="center" vertical="center" wrapText="1"/>
    </xf>
    <xf numFmtId="0" fontId="62" fillId="2" borderId="18" xfId="0" applyFont="1" applyFill="1" applyBorder="1" applyAlignment="1" applyProtection="1">
      <alignment horizontal="center" vertical="center" wrapText="1"/>
    </xf>
    <xf numFmtId="0" fontId="49" fillId="2" borderId="0" xfId="0" applyFont="1" applyFill="1" applyAlignment="1" applyProtection="1">
      <alignment horizontal="left"/>
    </xf>
    <xf numFmtId="0" fontId="49" fillId="8" borderId="2" xfId="0" applyFont="1" applyFill="1" applyBorder="1" applyProtection="1"/>
    <xf numFmtId="0" fontId="49" fillId="8" borderId="5" xfId="0" applyFont="1" applyFill="1" applyBorder="1" applyAlignment="1" applyProtection="1">
      <alignment horizontal="center" vertical="justify"/>
    </xf>
    <xf numFmtId="0" fontId="56" fillId="8" borderId="5" xfId="0" applyFont="1" applyFill="1" applyBorder="1" applyAlignment="1" applyProtection="1">
      <alignment horizontal="center"/>
    </xf>
    <xf numFmtId="4" fontId="56" fillId="8" borderId="25" xfId="0" applyNumberFormat="1" applyFont="1" applyFill="1" applyBorder="1" applyAlignment="1" applyProtection="1">
      <alignment horizontal="center"/>
    </xf>
    <xf numFmtId="0" fontId="56" fillId="2" borderId="2" xfId="0" applyFont="1" applyFill="1" applyBorder="1" applyAlignment="1" applyProtection="1">
      <alignment horizontal="justify" vertical="top"/>
    </xf>
    <xf numFmtId="0" fontId="56" fillId="2" borderId="6" xfId="0" applyFont="1" applyFill="1" applyBorder="1" applyAlignment="1" applyProtection="1">
      <alignment horizontal="justify" vertical="top"/>
    </xf>
    <xf numFmtId="9" fontId="80" fillId="0" borderId="2" xfId="0" applyNumberFormat="1" applyFont="1" applyFill="1" applyBorder="1" applyAlignment="1" applyProtection="1">
      <alignment horizontal="center"/>
      <protection locked="0"/>
    </xf>
    <xf numFmtId="0" fontId="1" fillId="0" borderId="0" xfId="0" applyFont="1" applyProtection="1"/>
    <xf numFmtId="0" fontId="54" fillId="0" borderId="0" xfId="0" applyFont="1" applyProtection="1"/>
    <xf numFmtId="0" fontId="54" fillId="0" borderId="0" xfId="0" applyFont="1" applyFill="1" applyProtection="1"/>
    <xf numFmtId="0" fontId="74" fillId="0" borderId="0" xfId="0" applyFont="1" applyProtection="1"/>
    <xf numFmtId="0" fontId="74" fillId="8" borderId="4" xfId="0" applyFont="1" applyFill="1" applyBorder="1" applyAlignment="1" applyProtection="1">
      <alignment horizontal="left" vertical="center" indent="1"/>
    </xf>
    <xf numFmtId="0" fontId="74" fillId="8" borderId="2" xfId="0" applyFont="1" applyFill="1" applyBorder="1" applyAlignment="1" applyProtection="1">
      <alignment horizontal="center"/>
    </xf>
    <xf numFmtId="0" fontId="74" fillId="8" borderId="5" xfId="0" applyFont="1" applyFill="1" applyBorder="1" applyAlignment="1" applyProtection="1">
      <alignment horizontal="center"/>
    </xf>
    <xf numFmtId="0" fontId="74" fillId="2" borderId="4" xfId="0" applyFont="1" applyFill="1" applyBorder="1" applyAlignment="1" applyProtection="1">
      <alignment horizontal="left" vertical="center" indent="1"/>
    </xf>
    <xf numFmtId="166" fontId="74" fillId="2" borderId="2" xfId="0" applyNumberFormat="1" applyFont="1" applyFill="1" applyBorder="1" applyAlignment="1" applyProtection="1">
      <alignment horizontal="center"/>
    </xf>
    <xf numFmtId="166" fontId="74" fillId="2" borderId="5" xfId="0" applyNumberFormat="1" applyFont="1" applyFill="1" applyBorder="1" applyAlignment="1" applyProtection="1">
      <alignment horizontal="center"/>
    </xf>
    <xf numFmtId="166" fontId="74" fillId="8" borderId="2" xfId="0" applyNumberFormat="1" applyFont="1" applyFill="1" applyBorder="1" applyAlignment="1" applyProtection="1">
      <alignment horizontal="center"/>
    </xf>
    <xf numFmtId="166" fontId="74" fillId="8" borderId="5" xfId="0" applyNumberFormat="1" applyFont="1" applyFill="1" applyBorder="1" applyAlignment="1" applyProtection="1">
      <alignment horizontal="center"/>
    </xf>
    <xf numFmtId="0" fontId="74" fillId="4" borderId="4" xfId="0" applyFont="1" applyFill="1" applyBorder="1" applyAlignment="1" applyProtection="1">
      <alignment horizontal="left" vertical="center" indent="1"/>
    </xf>
    <xf numFmtId="0" fontId="74" fillId="2" borderId="2" xfId="0" applyFont="1" applyFill="1" applyBorder="1" applyAlignment="1" applyProtection="1">
      <alignment horizontal="center"/>
    </xf>
    <xf numFmtId="0" fontId="74" fillId="2" borderId="5" xfId="0" applyFont="1" applyFill="1" applyBorder="1" applyAlignment="1" applyProtection="1">
      <alignment horizontal="center"/>
    </xf>
    <xf numFmtId="0" fontId="74" fillId="0" borderId="0" xfId="0" applyFont="1" applyFill="1" applyBorder="1" applyAlignment="1" applyProtection="1">
      <alignment horizontal="justify" vertical="justify"/>
    </xf>
    <xf numFmtId="0" fontId="74" fillId="0" borderId="0" xfId="0" applyFont="1" applyFill="1" applyBorder="1" applyAlignment="1" applyProtection="1">
      <alignment horizontal="center"/>
    </xf>
    <xf numFmtId="0" fontId="54" fillId="2" borderId="0" xfId="0" applyFont="1" applyFill="1" applyProtection="1"/>
    <xf numFmtId="0" fontId="37" fillId="8" borderId="4" xfId="0" applyFont="1" applyFill="1" applyBorder="1" applyAlignment="1" applyProtection="1">
      <alignment horizontal="left" vertical="center" indent="1"/>
    </xf>
    <xf numFmtId="0" fontId="54" fillId="4" borderId="4" xfId="0" applyFont="1" applyFill="1" applyBorder="1" applyAlignment="1" applyProtection="1">
      <alignment horizontal="left" vertical="center" indent="1"/>
    </xf>
    <xf numFmtId="0" fontId="51" fillId="2" borderId="2" xfId="0" applyFont="1" applyFill="1" applyBorder="1" applyAlignment="1" applyProtection="1"/>
    <xf numFmtId="0" fontId="51" fillId="8" borderId="2" xfId="0" applyFont="1" applyFill="1" applyBorder="1" applyProtection="1"/>
    <xf numFmtId="0" fontId="51" fillId="2" borderId="2" xfId="0" applyFont="1" applyFill="1" applyBorder="1" applyProtection="1"/>
    <xf numFmtId="0" fontId="37" fillId="8" borderId="41" xfId="0" applyFont="1" applyFill="1" applyBorder="1" applyAlignment="1" applyProtection="1">
      <alignment horizontal="left" vertical="center" indent="1"/>
    </xf>
    <xf numFmtId="0" fontId="51" fillId="8" borderId="39" xfId="0" applyFont="1" applyFill="1" applyBorder="1" applyProtection="1"/>
    <xf numFmtId="0" fontId="37" fillId="8" borderId="12" xfId="0" applyFont="1" applyFill="1" applyBorder="1" applyAlignment="1" applyProtection="1">
      <alignment horizontal="left" vertical="center" indent="1"/>
    </xf>
    <xf numFmtId="0" fontId="74" fillId="2" borderId="20" xfId="0" applyFont="1" applyFill="1" applyBorder="1" applyAlignment="1" applyProtection="1">
      <alignment horizontal="left" vertical="center" indent="1"/>
    </xf>
    <xf numFmtId="166" fontId="56" fillId="0" borderId="5" xfId="0" applyNumberFormat="1" applyFont="1" applyBorder="1" applyAlignment="1" applyProtection="1">
      <alignment horizontal="center"/>
      <protection locked="0"/>
    </xf>
    <xf numFmtId="166" fontId="56" fillId="0" borderId="7" xfId="0" applyNumberFormat="1" applyFont="1" applyBorder="1" applyAlignment="1" applyProtection="1">
      <alignment horizontal="center"/>
      <protection locked="0"/>
    </xf>
    <xf numFmtId="0" fontId="49" fillId="0" borderId="15" xfId="0" applyFont="1" applyBorder="1" applyAlignment="1" applyProtection="1">
      <alignment horizontal="center" vertical="center" wrapText="1"/>
    </xf>
    <xf numFmtId="0" fontId="49" fillId="0" borderId="16" xfId="0" applyFont="1" applyBorder="1" applyAlignment="1" applyProtection="1">
      <alignment horizontal="center" vertical="center" wrapText="1"/>
    </xf>
    <xf numFmtId="0" fontId="62" fillId="0" borderId="17" xfId="0" applyFont="1" applyBorder="1" applyAlignment="1" applyProtection="1">
      <alignment horizontal="center" vertical="center" wrapText="1"/>
    </xf>
    <xf numFmtId="0" fontId="49" fillId="8" borderId="11" xfId="0" applyFont="1" applyFill="1" applyBorder="1" applyProtection="1"/>
    <xf numFmtId="0" fontId="49" fillId="8" borderId="18" xfId="0" applyFont="1" applyFill="1" applyBorder="1" applyAlignment="1" applyProtection="1">
      <alignment horizontal="center" vertical="justify"/>
    </xf>
    <xf numFmtId="0" fontId="56" fillId="2" borderId="5" xfId="0" applyFont="1" applyFill="1" applyBorder="1" applyAlignment="1" applyProtection="1">
      <alignment horizontal="center"/>
    </xf>
    <xf numFmtId="0" fontId="37" fillId="0" borderId="12" xfId="0" applyFont="1" applyBorder="1" applyAlignment="1" applyProtection="1">
      <alignment horizontal="center" vertical="center" wrapText="1"/>
    </xf>
    <xf numFmtId="0" fontId="37" fillId="0" borderId="11" xfId="0" applyFont="1" applyBorder="1" applyAlignment="1" applyProtection="1">
      <alignment horizontal="center" vertical="center" wrapText="1"/>
    </xf>
    <xf numFmtId="0" fontId="44" fillId="0" borderId="11" xfId="0" applyFont="1" applyBorder="1" applyAlignment="1" applyProtection="1">
      <alignment horizontal="center" vertical="center" wrapText="1"/>
    </xf>
    <xf numFmtId="3" fontId="44" fillId="0" borderId="11" xfId="0" applyNumberFormat="1" applyFont="1" applyBorder="1" applyAlignment="1" applyProtection="1">
      <alignment horizontal="center" vertical="center" wrapText="1"/>
    </xf>
    <xf numFmtId="0" fontId="44" fillId="0" borderId="18" xfId="0" applyFont="1" applyBorder="1" applyAlignment="1" applyProtection="1">
      <alignment horizontal="center" vertical="center" wrapText="1"/>
    </xf>
    <xf numFmtId="0" fontId="43" fillId="0" borderId="10" xfId="0" applyFont="1" applyBorder="1" applyAlignment="1" applyProtection="1">
      <alignment horizontal="center" vertical="center"/>
    </xf>
    <xf numFmtId="0" fontId="43" fillId="0" borderId="0" xfId="0" applyFont="1" applyProtection="1"/>
    <xf numFmtId="0" fontId="56" fillId="0" borderId="11" xfId="0" applyFont="1" applyBorder="1" applyAlignment="1" applyProtection="1">
      <alignment horizontal="center" vertical="center" wrapText="1"/>
    </xf>
    <xf numFmtId="0" fontId="56" fillId="0" borderId="18" xfId="0" applyFont="1" applyBorder="1" applyAlignment="1" applyProtection="1">
      <alignment horizontal="center" vertical="center" wrapText="1"/>
    </xf>
    <xf numFmtId="0" fontId="43" fillId="2" borderId="8" xfId="0" applyFont="1" applyFill="1" applyBorder="1" applyAlignment="1" applyProtection="1">
      <alignment horizontal="right" vertical="center"/>
    </xf>
    <xf numFmtId="0" fontId="43" fillId="0" borderId="0" xfId="0" applyFont="1" applyAlignment="1" applyProtection="1">
      <alignment vertical="center"/>
    </xf>
    <xf numFmtId="0" fontId="74" fillId="0" borderId="0" xfId="0" applyFont="1" applyAlignment="1" applyProtection="1">
      <alignment vertical="center"/>
    </xf>
    <xf numFmtId="0" fontId="56" fillId="0" borderId="2" xfId="0" applyFont="1" applyBorder="1" applyAlignment="1" applyProtection="1">
      <alignment horizontal="center" vertical="center" wrapText="1"/>
      <protection locked="0"/>
    </xf>
    <xf numFmtId="0" fontId="51" fillId="4" borderId="4" xfId="0" applyFont="1" applyFill="1" applyBorder="1" applyAlignment="1" applyProtection="1">
      <alignment horizontal="left" vertical="center" wrapText="1"/>
    </xf>
    <xf numFmtId="0" fontId="51" fillId="2" borderId="2" xfId="0" applyFont="1" applyFill="1" applyBorder="1" applyAlignment="1" applyProtection="1">
      <alignment horizontal="left" vertical="center" wrapText="1"/>
    </xf>
    <xf numFmtId="0" fontId="51" fillId="2" borderId="2" xfId="0" applyFont="1" applyFill="1" applyBorder="1" applyAlignment="1" applyProtection="1">
      <alignment horizontal="center" vertical="center" wrapText="1"/>
    </xf>
    <xf numFmtId="0" fontId="51" fillId="8" borderId="2" xfId="0" applyFont="1" applyFill="1" applyBorder="1" applyAlignment="1" applyProtection="1">
      <alignment horizontal="center" vertical="center" wrapText="1"/>
    </xf>
    <xf numFmtId="0" fontId="51" fillId="2" borderId="5" xfId="0" applyFont="1" applyFill="1" applyBorder="1" applyAlignment="1" applyProtection="1">
      <alignment horizontal="center" vertical="center" wrapText="1"/>
    </xf>
    <xf numFmtId="0" fontId="51" fillId="2" borderId="4" xfId="0" applyFont="1" applyFill="1" applyBorder="1" applyAlignment="1" applyProtection="1">
      <alignment horizontal="left" vertical="center" wrapText="1"/>
    </xf>
    <xf numFmtId="3" fontId="51" fillId="2" borderId="2" xfId="0" applyNumberFormat="1" applyFont="1" applyFill="1" applyBorder="1" applyAlignment="1" applyProtection="1">
      <alignment horizontal="center" vertical="center" wrapText="1"/>
    </xf>
    <xf numFmtId="3" fontId="51" fillId="0" borderId="2" xfId="0" applyNumberFormat="1" applyFont="1" applyBorder="1" applyAlignment="1" applyProtection="1">
      <alignment horizontal="center" vertical="center"/>
      <protection locked="0"/>
    </xf>
    <xf numFmtId="10" fontId="51" fillId="8" borderId="2" xfId="0" applyNumberFormat="1" applyFont="1" applyFill="1" applyBorder="1" applyAlignment="1" applyProtection="1">
      <alignment horizontal="center" vertical="center" wrapText="1"/>
    </xf>
    <xf numFmtId="3" fontId="51" fillId="4" borderId="2" xfId="0" applyNumberFormat="1" applyFont="1" applyFill="1" applyBorder="1" applyAlignment="1" applyProtection="1">
      <alignment horizontal="center" vertical="center" wrapText="1"/>
    </xf>
    <xf numFmtId="165" fontId="51" fillId="4" borderId="5" xfId="0" applyNumberFormat="1" applyFont="1" applyFill="1" applyBorder="1" applyAlignment="1" applyProtection="1">
      <alignment horizontal="center" vertical="center" wrapText="1"/>
    </xf>
    <xf numFmtId="4" fontId="51" fillId="2" borderId="2" xfId="0" applyNumberFormat="1" applyFont="1" applyFill="1" applyBorder="1" applyAlignment="1" applyProtection="1">
      <alignment horizontal="center" vertical="center" wrapText="1"/>
    </xf>
    <xf numFmtId="165" fontId="51" fillId="2" borderId="5" xfId="0" applyNumberFormat="1" applyFont="1" applyFill="1" applyBorder="1" applyAlignment="1" applyProtection="1">
      <alignment horizontal="center" vertical="center" wrapText="1"/>
    </xf>
    <xf numFmtId="165" fontId="51" fillId="2" borderId="2" xfId="0" applyNumberFormat="1" applyFont="1" applyFill="1" applyBorder="1" applyAlignment="1" applyProtection="1">
      <alignment horizontal="center" vertical="center" wrapText="1"/>
    </xf>
    <xf numFmtId="9" fontId="51" fillId="2" borderId="2" xfId="0" applyNumberFormat="1" applyFont="1" applyFill="1" applyBorder="1" applyAlignment="1" applyProtection="1">
      <alignment horizontal="center" vertical="center" wrapText="1"/>
    </xf>
    <xf numFmtId="166" fontId="51" fillId="2" borderId="2" xfId="0" applyNumberFormat="1" applyFont="1" applyFill="1" applyBorder="1" applyAlignment="1" applyProtection="1">
      <alignment horizontal="center" vertical="center" wrapText="1"/>
    </xf>
    <xf numFmtId="1" fontId="51" fillId="5" borderId="2" xfId="0" applyNumberFormat="1" applyFont="1" applyFill="1" applyBorder="1" applyAlignment="1" applyProtection="1">
      <alignment horizontal="center" vertical="center" wrapText="1"/>
      <protection locked="0"/>
    </xf>
    <xf numFmtId="0" fontId="51" fillId="0" borderId="4" xfId="0" applyFont="1" applyFill="1" applyBorder="1" applyAlignment="1" applyProtection="1">
      <alignment horizontal="left" vertical="center" wrapText="1"/>
    </xf>
    <xf numFmtId="0" fontId="51" fillId="8" borderId="4" xfId="0" applyFont="1" applyFill="1" applyBorder="1" applyAlignment="1" applyProtection="1">
      <alignment horizontal="left" vertical="center" wrapText="1"/>
    </xf>
    <xf numFmtId="0" fontId="51" fillId="8" borderId="2" xfId="0" applyFont="1" applyFill="1" applyBorder="1" applyAlignment="1" applyProtection="1">
      <alignment horizontal="left" vertical="center" wrapText="1"/>
    </xf>
    <xf numFmtId="0" fontId="51" fillId="4" borderId="2" xfId="0" applyFont="1" applyFill="1" applyBorder="1" applyAlignment="1" applyProtection="1">
      <alignment horizontal="center" vertical="center" wrapText="1"/>
    </xf>
    <xf numFmtId="0" fontId="51" fillId="0" borderId="2" xfId="0" applyFont="1" applyBorder="1" applyAlignment="1" applyProtection="1">
      <alignment horizontal="center" vertical="center" wrapText="1"/>
      <protection locked="0"/>
    </xf>
    <xf numFmtId="0" fontId="51" fillId="0" borderId="5" xfId="0" applyFont="1" applyBorder="1" applyAlignment="1" applyProtection="1">
      <alignment horizontal="center" vertical="center" wrapText="1"/>
      <protection locked="0"/>
    </xf>
    <xf numFmtId="3" fontId="51" fillId="8" borderId="2" xfId="0" applyNumberFormat="1" applyFont="1" applyFill="1" applyBorder="1" applyAlignment="1" applyProtection="1">
      <alignment horizontal="center" vertical="center" wrapText="1"/>
    </xf>
    <xf numFmtId="3" fontId="51" fillId="8" borderId="6" xfId="0" applyNumberFormat="1" applyFont="1" applyFill="1" applyBorder="1" applyAlignment="1" applyProtection="1">
      <alignment horizontal="center" vertical="center" wrapText="1"/>
    </xf>
    <xf numFmtId="165" fontId="51" fillId="8" borderId="7" xfId="0" applyNumberFormat="1" applyFont="1" applyFill="1" applyBorder="1" applyAlignment="1" applyProtection="1">
      <alignment horizontal="center" vertical="center" wrapText="1"/>
    </xf>
    <xf numFmtId="0" fontId="51" fillId="4" borderId="5" xfId="0" applyFont="1" applyFill="1" applyBorder="1" applyAlignment="1" applyProtection="1">
      <alignment horizontal="center" vertical="center" wrapText="1"/>
    </xf>
    <xf numFmtId="3" fontId="51" fillId="0" borderId="0" xfId="0" applyNumberFormat="1" applyFont="1" applyFill="1" applyBorder="1" applyAlignment="1" applyProtection="1">
      <alignment horizontal="center" vertical="center" wrapText="1"/>
    </xf>
    <xf numFmtId="165" fontId="51" fillId="0" borderId="0" xfId="0" applyNumberFormat="1" applyFont="1" applyFill="1" applyBorder="1" applyAlignment="1" applyProtection="1">
      <alignment horizontal="center" vertical="center" wrapText="1"/>
    </xf>
    <xf numFmtId="165" fontId="51" fillId="8" borderId="2" xfId="0" applyNumberFormat="1" applyFont="1" applyFill="1" applyBorder="1" applyAlignment="1" applyProtection="1">
      <alignment horizontal="center" vertical="center" wrapText="1"/>
    </xf>
    <xf numFmtId="166" fontId="51" fillId="8" borderId="2" xfId="0" applyNumberFormat="1" applyFont="1" applyFill="1" applyBorder="1" applyAlignment="1" applyProtection="1">
      <alignment horizontal="center" vertical="center" wrapText="1"/>
    </xf>
    <xf numFmtId="0" fontId="51" fillId="8" borderId="6" xfId="0" applyFont="1" applyFill="1" applyBorder="1" applyAlignment="1" applyProtection="1">
      <alignment horizontal="left" vertical="center" wrapText="1"/>
    </xf>
    <xf numFmtId="0" fontId="37" fillId="0" borderId="0" xfId="0" applyFont="1" applyFill="1" applyAlignment="1" applyProtection="1">
      <alignment horizontal="left"/>
    </xf>
    <xf numFmtId="0" fontId="49" fillId="4" borderId="18" xfId="0" applyFont="1" applyFill="1" applyBorder="1" applyAlignment="1" applyProtection="1">
      <alignment horizontal="center" vertical="center" wrapText="1"/>
    </xf>
    <xf numFmtId="0" fontId="51" fillId="4" borderId="2" xfId="0" applyFont="1" applyFill="1" applyBorder="1" applyAlignment="1" applyProtection="1">
      <alignment horizontal="center" vertical="center"/>
    </xf>
    <xf numFmtId="3" fontId="51" fillId="4" borderId="2" xfId="0" applyNumberFormat="1" applyFont="1" applyFill="1" applyBorder="1" applyAlignment="1" applyProtection="1">
      <alignment horizontal="center" vertical="center"/>
    </xf>
    <xf numFmtId="0" fontId="51" fillId="4" borderId="5" xfId="0" applyFont="1" applyFill="1" applyBorder="1" applyAlignment="1" applyProtection="1">
      <alignment horizontal="center" vertical="center"/>
    </xf>
    <xf numFmtId="0" fontId="51" fillId="2" borderId="4" xfId="0" applyFont="1" applyFill="1" applyBorder="1" applyAlignment="1" applyProtection="1">
      <alignment vertical="center" wrapText="1"/>
    </xf>
    <xf numFmtId="3" fontId="51" fillId="2" borderId="2" xfId="0" applyNumberFormat="1" applyFont="1" applyFill="1" applyBorder="1" applyAlignment="1" applyProtection="1">
      <alignment horizontal="center" vertical="center"/>
    </xf>
    <xf numFmtId="10" fontId="51" fillId="2" borderId="2" xfId="0" applyNumberFormat="1" applyFont="1" applyFill="1" applyBorder="1" applyAlignment="1" applyProtection="1">
      <alignment horizontal="center" vertical="center"/>
    </xf>
    <xf numFmtId="166" fontId="51" fillId="2" borderId="2" xfId="0" applyNumberFormat="1" applyFont="1" applyFill="1" applyBorder="1" applyAlignment="1" applyProtection="1">
      <alignment horizontal="center" vertical="center"/>
    </xf>
    <xf numFmtId="165" fontId="51" fillId="2" borderId="5" xfId="0" applyNumberFormat="1" applyFont="1" applyFill="1" applyBorder="1" applyAlignment="1" applyProtection="1">
      <alignment horizontal="center" vertical="center"/>
    </xf>
    <xf numFmtId="4" fontId="51" fillId="2" borderId="2" xfId="0" applyNumberFormat="1" applyFont="1" applyFill="1" applyBorder="1" applyAlignment="1" applyProtection="1">
      <alignment horizontal="center" vertical="center"/>
    </xf>
    <xf numFmtId="0" fontId="51" fillId="8" borderId="4" xfId="0" applyFont="1" applyFill="1" applyBorder="1" applyAlignment="1" applyProtection="1">
      <alignment vertical="center" wrapText="1"/>
    </xf>
    <xf numFmtId="166" fontId="51" fillId="4" borderId="2" xfId="0" applyNumberFormat="1" applyFont="1" applyFill="1" applyBorder="1" applyAlignment="1" applyProtection="1">
      <alignment horizontal="center" vertical="center"/>
    </xf>
    <xf numFmtId="166" fontId="78" fillId="9" borderId="2" xfId="0" applyNumberFormat="1" applyFont="1" applyFill="1" applyBorder="1" applyAlignment="1" applyProtection="1">
      <alignment horizontal="center" vertical="center"/>
    </xf>
    <xf numFmtId="165" fontId="51" fillId="9" borderId="5" xfId="0" applyNumberFormat="1" applyFont="1" applyFill="1" applyBorder="1" applyAlignment="1" applyProtection="1">
      <alignment horizontal="center" vertical="center"/>
    </xf>
    <xf numFmtId="10" fontId="51" fillId="4" borderId="2" xfId="0" applyNumberFormat="1" applyFont="1" applyFill="1" applyBorder="1" applyAlignment="1" applyProtection="1">
      <alignment horizontal="center" vertical="center"/>
    </xf>
    <xf numFmtId="0" fontId="51" fillId="2" borderId="20" xfId="0" applyFont="1" applyFill="1" applyBorder="1" applyAlignment="1" applyProtection="1">
      <alignment vertical="center" wrapText="1"/>
    </xf>
    <xf numFmtId="3" fontId="51" fillId="2" borderId="6" xfId="0" applyNumberFormat="1" applyFont="1" applyFill="1" applyBorder="1" applyAlignment="1" applyProtection="1">
      <alignment horizontal="center" vertical="center"/>
    </xf>
    <xf numFmtId="10" fontId="51" fillId="2" borderId="6" xfId="0" applyNumberFormat="1" applyFont="1" applyFill="1" applyBorder="1" applyAlignment="1" applyProtection="1">
      <alignment horizontal="center" vertical="center"/>
    </xf>
    <xf numFmtId="166" fontId="51" fillId="2" borderId="6" xfId="0" applyNumberFormat="1" applyFont="1" applyFill="1" applyBorder="1" applyAlignment="1" applyProtection="1">
      <alignment horizontal="center" vertical="center"/>
    </xf>
    <xf numFmtId="165" fontId="51" fillId="2" borderId="7" xfId="0" applyNumberFormat="1" applyFont="1" applyFill="1" applyBorder="1" applyAlignment="1" applyProtection="1">
      <alignment horizontal="center" vertical="center"/>
    </xf>
    <xf numFmtId="3" fontId="78" fillId="8" borderId="2" xfId="0" applyNumberFormat="1" applyFont="1" applyFill="1" applyBorder="1" applyAlignment="1" applyProtection="1">
      <alignment horizontal="center" vertical="center"/>
    </xf>
    <xf numFmtId="10" fontId="78" fillId="8" borderId="2" xfId="0" applyNumberFormat="1" applyFont="1" applyFill="1" applyBorder="1" applyAlignment="1" applyProtection="1">
      <alignment horizontal="center" vertical="center"/>
    </xf>
    <xf numFmtId="166" fontId="78" fillId="8" borderId="2" xfId="0" applyNumberFormat="1" applyFont="1" applyFill="1" applyBorder="1" applyAlignment="1" applyProtection="1">
      <alignment horizontal="center" vertical="center"/>
    </xf>
    <xf numFmtId="165" fontId="78" fillId="8" borderId="5" xfId="0" applyNumberFormat="1" applyFont="1" applyFill="1" applyBorder="1" applyAlignment="1" applyProtection="1">
      <alignment horizontal="center" vertical="center"/>
    </xf>
    <xf numFmtId="165" fontId="78" fillId="8" borderId="2" xfId="0" applyNumberFormat="1" applyFont="1" applyFill="1" applyBorder="1" applyAlignment="1" applyProtection="1">
      <alignment horizontal="center" vertical="center"/>
    </xf>
    <xf numFmtId="0" fontId="78" fillId="8" borderId="5" xfId="0" applyFont="1" applyFill="1" applyBorder="1" applyAlignment="1" applyProtection="1">
      <alignment horizontal="center" vertical="center"/>
    </xf>
    <xf numFmtId="0" fontId="54" fillId="0" borderId="0" xfId="0" applyFont="1"/>
    <xf numFmtId="0" fontId="74" fillId="0" borderId="0" xfId="0" applyFont="1"/>
    <xf numFmtId="0" fontId="43" fillId="0" borderId="0" xfId="0" applyFont="1"/>
    <xf numFmtId="0" fontId="78" fillId="0" borderId="41" xfId="0" applyFont="1" applyBorder="1" applyAlignment="1">
      <alignment horizontal="left" vertical="center" wrapText="1" indent="1"/>
    </xf>
    <xf numFmtId="0" fontId="51" fillId="0" borderId="58" xfId="0" applyFont="1" applyBorder="1" applyAlignment="1">
      <alignment horizontal="center" vertical="center" wrapText="1"/>
    </xf>
    <xf numFmtId="165" fontId="51" fillId="2" borderId="39" xfId="7" applyNumberFormat="1" applyFont="1" applyFill="1" applyBorder="1" applyAlignment="1">
      <alignment horizontal="center" vertical="center" wrapText="1"/>
    </xf>
    <xf numFmtId="165" fontId="51" fillId="2" borderId="40" xfId="7" applyNumberFormat="1" applyFont="1" applyFill="1" applyBorder="1" applyAlignment="1">
      <alignment horizontal="center" vertical="center" wrapText="1"/>
    </xf>
    <xf numFmtId="165" fontId="51" fillId="2" borderId="25" xfId="7" applyNumberFormat="1" applyFont="1" applyFill="1" applyBorder="1" applyAlignment="1">
      <alignment horizontal="center" vertical="center" wrapText="1"/>
    </xf>
    <xf numFmtId="0" fontId="51" fillId="2" borderId="4" xfId="0" applyFont="1" applyFill="1" applyBorder="1" applyAlignment="1">
      <alignment horizontal="left" vertical="center" wrapText="1" indent="1"/>
    </xf>
    <xf numFmtId="3" fontId="51" fillId="0" borderId="2" xfId="0" applyNumberFormat="1" applyFont="1" applyFill="1" applyBorder="1" applyAlignment="1" applyProtection="1">
      <alignment horizontal="center" vertical="center"/>
      <protection locked="0"/>
    </xf>
    <xf numFmtId="165" fontId="51" fillId="2" borderId="5" xfId="7" applyNumberFormat="1" applyFont="1" applyFill="1" applyBorder="1" applyAlignment="1">
      <alignment horizontal="center" vertical="center" wrapText="1"/>
    </xf>
    <xf numFmtId="0" fontId="51" fillId="4" borderId="4" xfId="0" applyFont="1" applyFill="1" applyBorder="1" applyAlignment="1" applyProtection="1">
      <alignment horizontal="left" vertical="center" wrapText="1" indent="3"/>
    </xf>
    <xf numFmtId="165" fontId="51" fillId="18" borderId="2" xfId="0" applyNumberFormat="1" applyFont="1" applyFill="1" applyBorder="1" applyAlignment="1" applyProtection="1">
      <alignment horizontal="center" vertical="center" wrapText="1"/>
    </xf>
    <xf numFmtId="165" fontId="51" fillId="4" borderId="55" xfId="7" applyNumberFormat="1" applyFont="1" applyFill="1" applyBorder="1" applyAlignment="1">
      <alignment horizontal="center" vertical="center" wrapText="1"/>
    </xf>
    <xf numFmtId="165" fontId="51" fillId="4" borderId="5" xfId="7" applyNumberFormat="1" applyFont="1" applyFill="1" applyBorder="1" applyAlignment="1">
      <alignment horizontal="center" vertical="center" wrapText="1"/>
    </xf>
    <xf numFmtId="3" fontId="51" fillId="0" borderId="2" xfId="0" applyNumberFormat="1" applyFont="1" applyBorder="1" applyAlignment="1" applyProtection="1">
      <alignment horizontal="center"/>
      <protection locked="0"/>
    </xf>
    <xf numFmtId="0" fontId="78" fillId="4" borderId="4" xfId="0" applyFont="1" applyFill="1" applyBorder="1" applyAlignment="1">
      <alignment horizontal="left" vertical="center" wrapText="1" indent="1"/>
    </xf>
    <xf numFmtId="3" fontId="51" fillId="4" borderId="2" xfId="0" applyNumberFormat="1" applyFont="1" applyFill="1" applyBorder="1" applyAlignment="1" applyProtection="1">
      <alignment horizontal="center" vertical="center" wrapText="1"/>
      <protection locked="0"/>
    </xf>
    <xf numFmtId="0" fontId="51" fillId="14" borderId="4" xfId="0" applyFont="1" applyFill="1" applyBorder="1" applyAlignment="1">
      <alignment horizontal="left" vertical="center" wrapText="1" indent="1"/>
    </xf>
    <xf numFmtId="0" fontId="78" fillId="18" borderId="4" xfId="0" applyFont="1" applyFill="1" applyBorder="1" applyAlignment="1">
      <alignment horizontal="left" vertical="center" wrapText="1" indent="1"/>
    </xf>
    <xf numFmtId="4" fontId="51" fillId="18" borderId="2" xfId="0" applyNumberFormat="1" applyFont="1" applyFill="1" applyBorder="1" applyAlignment="1" applyProtection="1">
      <alignment horizontal="center" vertical="center" wrapText="1"/>
    </xf>
    <xf numFmtId="165" fontId="51" fillId="4" borderId="2" xfId="7" applyNumberFormat="1" applyFont="1" applyFill="1" applyBorder="1" applyAlignment="1">
      <alignment horizontal="center" vertical="center" wrapText="1"/>
    </xf>
    <xf numFmtId="0" fontId="78" fillId="18" borderId="20" xfId="0" applyFont="1" applyFill="1" applyBorder="1" applyAlignment="1">
      <alignment horizontal="left" vertical="center" wrapText="1" indent="1"/>
    </xf>
    <xf numFmtId="166" fontId="51" fillId="18" borderId="6" xfId="0" applyNumberFormat="1" applyFont="1" applyFill="1" applyBorder="1" applyAlignment="1" applyProtection="1">
      <alignment horizontal="center" vertical="center" wrapText="1"/>
    </xf>
    <xf numFmtId="165" fontId="51" fillId="4" borderId="6" xfId="7" applyNumberFormat="1" applyFont="1" applyFill="1" applyBorder="1" applyAlignment="1">
      <alignment horizontal="center" vertical="center" wrapText="1"/>
    </xf>
    <xf numFmtId="165" fontId="51" fillId="4" borderId="7" xfId="7" applyNumberFormat="1" applyFont="1" applyFill="1" applyBorder="1" applyAlignment="1">
      <alignment horizontal="center" vertical="center" wrapText="1"/>
    </xf>
    <xf numFmtId="3" fontId="78" fillId="15" borderId="26" xfId="0" applyNumberFormat="1" applyFont="1" applyFill="1" applyBorder="1" applyAlignment="1">
      <alignment horizontal="center" vertical="center" wrapText="1"/>
    </xf>
    <xf numFmtId="0" fontId="37" fillId="0" borderId="0" xfId="0" applyFont="1"/>
    <xf numFmtId="0" fontId="51" fillId="8" borderId="22" xfId="0" applyFont="1" applyFill="1" applyBorder="1" applyAlignment="1">
      <alignment vertical="center" wrapText="1"/>
    </xf>
    <xf numFmtId="0" fontId="78" fillId="17" borderId="23" xfId="0" applyFont="1" applyFill="1" applyBorder="1" applyAlignment="1">
      <alignment vertical="center" wrapText="1"/>
    </xf>
    <xf numFmtId="0" fontId="78" fillId="8" borderId="23" xfId="0" applyFont="1" applyFill="1" applyBorder="1" applyAlignment="1">
      <alignment horizontal="center" vertical="center"/>
    </xf>
    <xf numFmtId="0" fontId="78" fillId="8" borderId="24" xfId="0" applyFont="1" applyFill="1" applyBorder="1" applyAlignment="1">
      <alignment horizontal="center" vertical="center"/>
    </xf>
    <xf numFmtId="0" fontId="54" fillId="0" borderId="0" xfId="0" applyFont="1" applyAlignment="1">
      <alignment wrapText="1"/>
    </xf>
    <xf numFmtId="0" fontId="74" fillId="0" borderId="0" xfId="0" applyFont="1" applyAlignment="1">
      <alignment horizontal="center" vertical="center"/>
    </xf>
    <xf numFmtId="0" fontId="51" fillId="2" borderId="20" xfId="0" applyFont="1" applyFill="1" applyBorder="1" applyAlignment="1">
      <alignment horizontal="left" vertical="center" wrapText="1" indent="1"/>
    </xf>
    <xf numFmtId="0" fontId="54" fillId="0" borderId="0" xfId="0" applyFont="1" applyAlignment="1">
      <alignment horizontal="center" vertical="center"/>
    </xf>
    <xf numFmtId="3" fontId="51" fillId="2" borderId="11" xfId="0" applyNumberFormat="1" applyFont="1" applyFill="1" applyBorder="1" applyAlignment="1">
      <alignment horizontal="center" vertical="center"/>
    </xf>
    <xf numFmtId="3" fontId="51" fillId="2" borderId="6" xfId="0" applyNumberFormat="1" applyFont="1" applyFill="1" applyBorder="1" applyAlignment="1">
      <alignment horizontal="center" vertical="center"/>
    </xf>
    <xf numFmtId="10" fontId="51" fillId="2" borderId="41" xfId="0" applyNumberFormat="1" applyFont="1" applyFill="1" applyBorder="1" applyAlignment="1">
      <alignment horizontal="center" vertical="center"/>
    </xf>
    <xf numFmtId="10" fontId="51" fillId="2" borderId="39" xfId="0" applyNumberFormat="1" applyFont="1" applyFill="1" applyBorder="1" applyAlignment="1">
      <alignment horizontal="center" vertical="center"/>
    </xf>
    <xf numFmtId="166" fontId="51" fillId="2" borderId="25" xfId="0" applyNumberFormat="1" applyFont="1" applyFill="1" applyBorder="1" applyAlignment="1">
      <alignment horizontal="center" vertical="center"/>
    </xf>
    <xf numFmtId="10" fontId="51" fillId="4" borderId="69" xfId="0" applyNumberFormat="1" applyFont="1" applyFill="1" applyBorder="1" applyAlignment="1">
      <alignment horizontal="center" vertical="center"/>
    </xf>
    <xf numFmtId="10" fontId="51" fillId="4" borderId="39" xfId="0" applyNumberFormat="1" applyFont="1" applyFill="1" applyBorder="1" applyAlignment="1">
      <alignment horizontal="center" vertical="center"/>
    </xf>
    <xf numFmtId="166" fontId="51" fillId="4" borderId="25" xfId="0" applyNumberFormat="1" applyFont="1" applyFill="1" applyBorder="1" applyAlignment="1">
      <alignment horizontal="center" vertical="center"/>
    </xf>
    <xf numFmtId="10" fontId="51" fillId="2" borderId="4" xfId="0" applyNumberFormat="1" applyFont="1" applyFill="1" applyBorder="1" applyAlignment="1">
      <alignment horizontal="center" vertical="center"/>
    </xf>
    <xf numFmtId="10" fontId="51" fillId="2" borderId="2" xfId="0" applyNumberFormat="1" applyFont="1" applyFill="1" applyBorder="1" applyAlignment="1">
      <alignment horizontal="center" vertical="center"/>
    </xf>
    <xf numFmtId="166" fontId="51" fillId="2" borderId="5" xfId="0" applyNumberFormat="1" applyFont="1" applyFill="1" applyBorder="1" applyAlignment="1">
      <alignment horizontal="center" vertical="center"/>
    </xf>
    <xf numFmtId="10" fontId="51" fillId="4" borderId="55" xfId="0" applyNumberFormat="1" applyFont="1" applyFill="1" applyBorder="1" applyAlignment="1">
      <alignment horizontal="center" vertical="center"/>
    </xf>
    <xf numFmtId="10" fontId="51" fillId="4" borderId="2" xfId="0" applyNumberFormat="1" applyFont="1" applyFill="1" applyBorder="1" applyAlignment="1">
      <alignment horizontal="center" vertical="center"/>
    </xf>
    <xf numFmtId="166" fontId="51" fillId="4" borderId="5" xfId="0" applyNumberFormat="1" applyFont="1" applyFill="1" applyBorder="1" applyAlignment="1">
      <alignment horizontal="center" vertical="center"/>
    </xf>
    <xf numFmtId="10" fontId="51" fillId="2" borderId="45" xfId="0" applyNumberFormat="1" applyFont="1" applyFill="1" applyBorder="1" applyAlignment="1">
      <alignment horizontal="center" vertical="center"/>
    </xf>
    <xf numFmtId="10" fontId="51" fillId="2" borderId="46" xfId="0" applyNumberFormat="1" applyFont="1" applyFill="1" applyBorder="1" applyAlignment="1">
      <alignment horizontal="center" vertical="center"/>
    </xf>
    <xf numFmtId="166" fontId="51" fillId="2" borderId="47" xfId="0" applyNumberFormat="1" applyFont="1" applyFill="1" applyBorder="1" applyAlignment="1">
      <alignment horizontal="center" vertical="center"/>
    </xf>
    <xf numFmtId="10" fontId="51" fillId="4" borderId="70" xfId="0" applyNumberFormat="1" applyFont="1" applyFill="1" applyBorder="1" applyAlignment="1">
      <alignment horizontal="center" vertical="center"/>
    </xf>
    <xf numFmtId="10" fontId="51" fillId="4" borderId="46" xfId="0" applyNumberFormat="1" applyFont="1" applyFill="1" applyBorder="1" applyAlignment="1">
      <alignment horizontal="center" vertical="center"/>
    </xf>
    <xf numFmtId="166" fontId="51" fillId="4" borderId="47" xfId="0" applyNumberFormat="1" applyFont="1" applyFill="1" applyBorder="1" applyAlignment="1">
      <alignment horizontal="center" vertical="center"/>
    </xf>
    <xf numFmtId="0" fontId="20" fillId="2" borderId="12" xfId="0" applyFont="1" applyFill="1" applyBorder="1" applyAlignment="1">
      <alignment horizontal="center" vertical="center" wrapText="1"/>
    </xf>
    <xf numFmtId="0" fontId="50" fillId="7" borderId="18" xfId="0" applyFont="1" applyFill="1" applyBorder="1" applyAlignment="1">
      <alignment horizontal="center" vertical="center" wrapText="1"/>
    </xf>
    <xf numFmtId="0" fontId="50" fillId="7" borderId="10" xfId="0" applyFont="1" applyFill="1" applyBorder="1" applyAlignment="1">
      <alignment horizontal="center" vertical="center" wrapText="1"/>
    </xf>
    <xf numFmtId="0" fontId="49" fillId="0" borderId="11" xfId="0" applyFont="1" applyFill="1" applyBorder="1" applyAlignment="1">
      <alignment horizontal="center" vertical="center" wrapText="1"/>
    </xf>
    <xf numFmtId="0" fontId="49" fillId="0" borderId="18" xfId="0" applyFont="1" applyFill="1" applyBorder="1" applyAlignment="1">
      <alignment horizontal="center" vertical="center" wrapText="1"/>
    </xf>
    <xf numFmtId="0" fontId="49" fillId="0" borderId="12" xfId="0" applyFont="1" applyFill="1" applyBorder="1" applyAlignment="1">
      <alignment horizontal="center" vertical="center" wrapText="1"/>
    </xf>
    <xf numFmtId="165" fontId="51" fillId="2" borderId="2" xfId="7" applyNumberFormat="1" applyFont="1" applyFill="1" applyBorder="1" applyAlignment="1">
      <alignment horizontal="center" vertical="center"/>
    </xf>
    <xf numFmtId="0" fontId="51" fillId="0" borderId="4" xfId="0" applyFont="1" applyFill="1" applyBorder="1" applyAlignment="1">
      <alignment horizontal="left" vertical="center" wrapText="1" indent="2"/>
    </xf>
    <xf numFmtId="0" fontId="51" fillId="0" borderId="20" xfId="0" applyFont="1" applyFill="1" applyBorder="1" applyAlignment="1">
      <alignment horizontal="left" vertical="center" wrapText="1"/>
    </xf>
    <xf numFmtId="165" fontId="51" fillId="19" borderId="6" xfId="7" applyNumberFormat="1" applyFont="1" applyFill="1" applyBorder="1" applyAlignment="1" applyProtection="1">
      <alignment horizontal="center" vertical="center"/>
    </xf>
    <xf numFmtId="165" fontId="51" fillId="19" borderId="7" xfId="7" applyNumberFormat="1" applyFont="1" applyFill="1" applyBorder="1" applyAlignment="1" applyProtection="1">
      <alignment horizontal="center" vertical="center"/>
    </xf>
    <xf numFmtId="0" fontId="56" fillId="10" borderId="2" xfId="0" applyFont="1" applyFill="1" applyBorder="1" applyAlignment="1">
      <alignment horizontal="center"/>
    </xf>
    <xf numFmtId="9" fontId="56" fillId="10" borderId="2" xfId="0" applyNumberFormat="1" applyFont="1" applyFill="1" applyBorder="1" applyAlignment="1">
      <alignment horizontal="center"/>
    </xf>
    <xf numFmtId="0" fontId="49" fillId="10" borderId="4" xfId="0" applyFont="1" applyFill="1" applyBorder="1" applyAlignment="1">
      <alignment horizontal="left" indent="1"/>
    </xf>
    <xf numFmtId="9" fontId="56" fillId="10" borderId="5" xfId="0" applyNumberFormat="1" applyFont="1" applyFill="1" applyBorder="1" applyAlignment="1">
      <alignment horizontal="center"/>
    </xf>
    <xf numFmtId="0" fontId="51" fillId="2" borderId="4" xfId="0" applyFont="1" applyFill="1" applyBorder="1" applyAlignment="1">
      <alignment horizontal="left" vertical="center" wrapText="1" indent="3"/>
    </xf>
    <xf numFmtId="2" fontId="51" fillId="2" borderId="5" xfId="0" applyNumberFormat="1" applyFont="1" applyFill="1" applyBorder="1" applyAlignment="1">
      <alignment horizontal="center" vertical="center"/>
    </xf>
    <xf numFmtId="165" fontId="78" fillId="4" borderId="2" xfId="7" applyNumberFormat="1" applyFont="1" applyFill="1" applyBorder="1" applyAlignment="1">
      <alignment horizontal="center" vertical="center"/>
    </xf>
    <xf numFmtId="3" fontId="51" fillId="4" borderId="2" xfId="0" applyNumberFormat="1" applyFont="1" applyFill="1" applyBorder="1" applyAlignment="1">
      <alignment horizontal="center" vertical="center"/>
    </xf>
    <xf numFmtId="3" fontId="51" fillId="4" borderId="5" xfId="0" applyNumberFormat="1" applyFont="1" applyFill="1" applyBorder="1" applyAlignment="1">
      <alignment horizontal="center" vertical="center"/>
    </xf>
    <xf numFmtId="0" fontId="51" fillId="2" borderId="4" xfId="0" applyFont="1" applyFill="1" applyBorder="1" applyAlignment="1">
      <alignment horizontal="left" vertical="top" indent="3"/>
    </xf>
    <xf numFmtId="165" fontId="51" fillId="2" borderId="2" xfId="0" applyNumberFormat="1" applyFont="1" applyFill="1" applyBorder="1" applyAlignment="1">
      <alignment horizontal="center" vertical="center"/>
    </xf>
    <xf numFmtId="4" fontId="51" fillId="2" borderId="5" xfId="0" applyNumberFormat="1" applyFont="1" applyFill="1" applyBorder="1" applyAlignment="1">
      <alignment horizontal="center" vertical="center"/>
    </xf>
    <xf numFmtId="165" fontId="78" fillId="4" borderId="6" xfId="7" applyNumberFormat="1" applyFont="1" applyFill="1" applyBorder="1" applyAlignment="1">
      <alignment horizontal="center" vertical="center"/>
    </xf>
    <xf numFmtId="3" fontId="51" fillId="4" borderId="6" xfId="0" applyNumberFormat="1" applyFont="1" applyFill="1" applyBorder="1" applyAlignment="1">
      <alignment horizontal="center" vertical="center"/>
    </xf>
    <xf numFmtId="3" fontId="51" fillId="4" borderId="7" xfId="0" applyNumberFormat="1" applyFont="1" applyFill="1" applyBorder="1" applyAlignment="1">
      <alignment horizontal="center" vertical="center"/>
    </xf>
    <xf numFmtId="0" fontId="49" fillId="20" borderId="11" xfId="0" applyFont="1" applyFill="1" applyBorder="1" applyAlignment="1">
      <alignment horizontal="center" vertical="center" wrapText="1"/>
    </xf>
    <xf numFmtId="0" fontId="49" fillId="11" borderId="11" xfId="0" applyFont="1" applyFill="1" applyBorder="1" applyAlignment="1">
      <alignment horizontal="center" vertical="center" wrapText="1"/>
    </xf>
    <xf numFmtId="3" fontId="21" fillId="5" borderId="2" xfId="0" applyNumberFormat="1" applyFont="1" applyFill="1" applyBorder="1" applyAlignment="1" applyProtection="1">
      <alignment horizontal="center" vertical="center" wrapText="1"/>
      <protection locked="0"/>
    </xf>
    <xf numFmtId="0" fontId="21" fillId="5" borderId="2" xfId="0" applyFont="1" applyFill="1" applyBorder="1" applyAlignment="1" applyProtection="1">
      <alignment horizontal="center" vertical="center" wrapText="1"/>
      <protection locked="0"/>
    </xf>
    <xf numFmtId="3" fontId="21" fillId="5" borderId="46" xfId="0" applyNumberFormat="1" applyFont="1" applyFill="1" applyBorder="1" applyAlignment="1" applyProtection="1">
      <alignment horizontal="center" vertical="center" wrapText="1"/>
      <protection locked="0"/>
    </xf>
    <xf numFmtId="0" fontId="51" fillId="8" borderId="20" xfId="0" applyFont="1" applyFill="1" applyBorder="1" applyAlignment="1" applyProtection="1">
      <alignment horizontal="left" vertical="center" wrapText="1"/>
    </xf>
    <xf numFmtId="3" fontId="56" fillId="8" borderId="6" xfId="0" applyNumberFormat="1" applyFont="1" applyFill="1" applyBorder="1" applyAlignment="1" applyProtection="1">
      <alignment horizontal="center" vertical="center" wrapText="1"/>
    </xf>
    <xf numFmtId="167" fontId="51" fillId="2" borderId="6" xfId="0" applyNumberFormat="1" applyFont="1" applyFill="1" applyBorder="1" applyAlignment="1" applyProtection="1">
      <alignment horizontal="center" vertical="center"/>
    </xf>
    <xf numFmtId="3" fontId="56" fillId="2" borderId="7" xfId="0" applyNumberFormat="1" applyFont="1" applyFill="1" applyBorder="1" applyAlignment="1" applyProtection="1">
      <alignment horizontal="center" vertical="center" wrapText="1"/>
    </xf>
    <xf numFmtId="3" fontId="76" fillId="0" borderId="42" xfId="0" applyNumberFormat="1" applyFont="1" applyBorder="1" applyAlignment="1" applyProtection="1">
      <alignment horizontal="center" vertical="center"/>
      <protection locked="0"/>
    </xf>
    <xf numFmtId="0" fontId="74" fillId="2" borderId="71" xfId="0" applyFont="1" applyFill="1" applyBorder="1" applyAlignment="1" applyProtection="1">
      <alignment horizontal="left" vertical="center" indent="1"/>
    </xf>
    <xf numFmtId="3" fontId="56" fillId="4" borderId="2" xfId="0" applyNumberFormat="1" applyFont="1" applyFill="1" applyBorder="1" applyAlignment="1" applyProtection="1">
      <alignment horizontal="center" vertical="center"/>
    </xf>
    <xf numFmtId="3" fontId="51" fillId="4" borderId="6" xfId="0" applyNumberFormat="1" applyFont="1" applyFill="1" applyBorder="1" applyAlignment="1" applyProtection="1">
      <alignment horizontal="center" vertical="center" wrapText="1"/>
    </xf>
    <xf numFmtId="0" fontId="0" fillId="0" borderId="0" xfId="0" applyFont="1" applyAlignment="1" applyProtection="1">
      <alignment vertical="center"/>
    </xf>
    <xf numFmtId="166" fontId="0" fillId="0" borderId="0" xfId="0" applyNumberFormat="1" applyFont="1" applyAlignment="1" applyProtection="1">
      <alignment vertical="center"/>
    </xf>
    <xf numFmtId="3" fontId="0" fillId="0" borderId="0" xfId="0" applyNumberFormat="1" applyFont="1" applyAlignment="1" applyProtection="1">
      <alignment vertical="center"/>
    </xf>
    <xf numFmtId="3" fontId="0" fillId="0" borderId="0" xfId="0" applyNumberFormat="1" applyFont="1" applyAlignment="1" applyProtection="1">
      <alignment horizontal="center" vertical="center"/>
    </xf>
    <xf numFmtId="0" fontId="53" fillId="2" borderId="72" xfId="0" applyFont="1" applyFill="1" applyBorder="1" applyAlignment="1" applyProtection="1">
      <alignment horizontal="center" vertical="center" wrapText="1"/>
    </xf>
    <xf numFmtId="166" fontId="0" fillId="2" borderId="17" xfId="0" applyNumberFormat="1" applyFont="1" applyFill="1" applyBorder="1" applyAlignment="1" applyProtection="1">
      <alignment horizontal="center" vertical="center" wrapText="1"/>
    </xf>
    <xf numFmtId="0" fontId="59" fillId="2" borderId="73" xfId="0" applyFont="1" applyFill="1" applyBorder="1" applyAlignment="1" applyProtection="1">
      <alignment horizontal="center" vertical="center" wrapText="1"/>
    </xf>
    <xf numFmtId="0" fontId="45" fillId="0" borderId="13" xfId="0" applyFont="1" applyBorder="1" applyAlignment="1" applyProtection="1">
      <alignment horizontal="center" vertical="center" wrapText="1"/>
    </xf>
    <xf numFmtId="0" fontId="45" fillId="0" borderId="13" xfId="0" applyFont="1" applyFill="1" applyBorder="1" applyAlignment="1" applyProtection="1">
      <alignment horizontal="center" vertical="center" wrapText="1"/>
    </xf>
    <xf numFmtId="0" fontId="45" fillId="0" borderId="74" xfId="0" applyFont="1" applyFill="1" applyBorder="1" applyAlignment="1" applyProtection="1">
      <alignment horizontal="center" vertical="center" wrapText="1"/>
    </xf>
    <xf numFmtId="0" fontId="60" fillId="2" borderId="75" xfId="0" applyFont="1" applyFill="1" applyBorder="1" applyAlignment="1" applyProtection="1">
      <alignment horizontal="center" vertical="center" wrapText="1"/>
    </xf>
    <xf numFmtId="3" fontId="46" fillId="2" borderId="44" xfId="0" applyNumberFormat="1" applyFont="1" applyFill="1" applyBorder="1" applyAlignment="1" applyProtection="1">
      <alignment horizontal="center" vertical="center" wrapText="1"/>
    </xf>
    <xf numFmtId="0" fontId="46" fillId="2" borderId="76" xfId="0" applyFont="1" applyFill="1" applyBorder="1" applyAlignment="1" applyProtection="1">
      <alignment horizontal="center" vertical="center" wrapText="1"/>
    </xf>
    <xf numFmtId="3" fontId="45" fillId="2" borderId="2" xfId="0" applyNumberFormat="1" applyFont="1" applyFill="1" applyBorder="1" applyAlignment="1" applyProtection="1">
      <alignment horizontal="center" vertical="center" wrapText="1"/>
    </xf>
    <xf numFmtId="3" fontId="45" fillId="2" borderId="5" xfId="0" applyNumberFormat="1" applyFont="1" applyFill="1" applyBorder="1" applyAlignment="1" applyProtection="1">
      <alignment horizontal="center" vertical="center" wrapText="1"/>
    </xf>
    <xf numFmtId="0" fontId="0" fillId="8" borderId="53" xfId="0" applyFont="1" applyFill="1" applyBorder="1" applyAlignment="1" applyProtection="1">
      <alignment horizontal="center" vertical="center"/>
    </xf>
    <xf numFmtId="166" fontId="0" fillId="8" borderId="63" xfId="0" applyNumberFormat="1" applyFont="1" applyFill="1" applyBorder="1" applyAlignment="1" applyProtection="1">
      <alignment horizontal="center" vertical="center"/>
    </xf>
    <xf numFmtId="3" fontId="0" fillId="8" borderId="54" xfId="0" applyNumberFormat="1" applyFont="1" applyFill="1" applyBorder="1" applyAlignment="1" applyProtection="1">
      <alignment horizontal="center" vertical="center"/>
    </xf>
    <xf numFmtId="3" fontId="0" fillId="8" borderId="11" xfId="0" applyNumberFormat="1" applyFont="1" applyFill="1" applyBorder="1" applyAlignment="1" applyProtection="1">
      <alignment horizontal="center" vertical="center"/>
    </xf>
    <xf numFmtId="0" fontId="0" fillId="8" borderId="11" xfId="0" applyFont="1" applyFill="1" applyBorder="1" applyAlignment="1" applyProtection="1">
      <alignment horizontal="center" vertical="center"/>
    </xf>
    <xf numFmtId="0" fontId="0" fillId="8" borderId="39" xfId="0" applyFont="1" applyFill="1" applyBorder="1" applyAlignment="1" applyProtection="1">
      <alignment horizontal="center" vertical="center"/>
    </xf>
    <xf numFmtId="165" fontId="0" fillId="8" borderId="39" xfId="0" applyNumberFormat="1" applyFont="1" applyFill="1" applyBorder="1" applyAlignment="1" applyProtection="1">
      <alignment horizontal="center" vertical="center"/>
    </xf>
    <xf numFmtId="165" fontId="0" fillId="8" borderId="25" xfId="0" applyNumberFormat="1" applyFont="1" applyFill="1" applyBorder="1" applyAlignment="1" applyProtection="1">
      <alignment horizontal="center" vertical="center"/>
    </xf>
    <xf numFmtId="0" fontId="56" fillId="2" borderId="4" xfId="0" applyFont="1" applyFill="1" applyBorder="1" applyAlignment="1" applyProtection="1">
      <alignment horizontal="left" vertical="center"/>
    </xf>
    <xf numFmtId="166" fontId="56" fillId="2" borderId="30" xfId="0" applyNumberFormat="1" applyFont="1" applyFill="1" applyBorder="1" applyAlignment="1" applyProtection="1">
      <alignment horizontal="center" vertical="center"/>
    </xf>
    <xf numFmtId="3" fontId="0" fillId="2" borderId="2" xfId="0" applyNumberFormat="1" applyFont="1" applyFill="1" applyBorder="1" applyAlignment="1" applyProtection="1">
      <alignment horizontal="center" vertical="center"/>
    </xf>
    <xf numFmtId="0" fontId="0" fillId="20" borderId="2" xfId="0" applyFont="1" applyFill="1" applyBorder="1" applyAlignment="1" applyProtection="1">
      <alignment horizontal="center" vertical="center"/>
    </xf>
    <xf numFmtId="165" fontId="0" fillId="4" borderId="2" xfId="0" applyNumberFormat="1" applyFont="1" applyFill="1" applyBorder="1" applyAlignment="1" applyProtection="1">
      <alignment horizontal="center" vertical="center"/>
    </xf>
    <xf numFmtId="165" fontId="0" fillId="4" borderId="5" xfId="0" applyNumberFormat="1" applyFont="1" applyFill="1" applyBorder="1" applyAlignment="1" applyProtection="1">
      <alignment horizontal="center" vertical="center"/>
    </xf>
    <xf numFmtId="0" fontId="49" fillId="7" borderId="43" xfId="0" applyFont="1" applyFill="1" applyBorder="1" applyAlignment="1" applyProtection="1">
      <alignment horizontal="left" vertical="center"/>
    </xf>
    <xf numFmtId="3" fontId="49" fillId="7" borderId="76" xfId="0" applyNumberFormat="1" applyFont="1" applyFill="1" applyBorder="1" applyAlignment="1" applyProtection="1">
      <alignment horizontal="center" vertical="center"/>
    </xf>
    <xf numFmtId="166" fontId="49" fillId="7" borderId="77" xfId="0" applyNumberFormat="1" applyFont="1" applyFill="1" applyBorder="1" applyAlignment="1" applyProtection="1">
      <alignment horizontal="center" vertical="center"/>
    </xf>
    <xf numFmtId="3" fontId="49" fillId="7" borderId="78" xfId="0" applyNumberFormat="1" applyFont="1" applyFill="1" applyBorder="1" applyAlignment="1" applyProtection="1">
      <alignment horizontal="center" vertical="center"/>
    </xf>
    <xf numFmtId="3" fontId="49" fillId="7" borderId="44" xfId="0" applyNumberFormat="1" applyFont="1" applyFill="1" applyBorder="1" applyAlignment="1" applyProtection="1">
      <alignment horizontal="center" vertical="center"/>
    </xf>
    <xf numFmtId="0" fontId="0" fillId="7" borderId="44" xfId="0" applyFont="1" applyFill="1" applyBorder="1" applyAlignment="1" applyProtection="1">
      <alignment horizontal="center" vertical="center"/>
    </xf>
    <xf numFmtId="165" fontId="0" fillId="7" borderId="44" xfId="0" applyNumberFormat="1" applyFont="1" applyFill="1" applyBorder="1" applyAlignment="1" applyProtection="1">
      <alignment horizontal="center" vertical="center"/>
    </xf>
    <xf numFmtId="165" fontId="0" fillId="7" borderId="19" xfId="0" applyNumberFormat="1" applyFont="1" applyFill="1" applyBorder="1" applyAlignment="1" applyProtection="1">
      <alignment horizontal="center" vertical="center"/>
    </xf>
    <xf numFmtId="0" fontId="56" fillId="8" borderId="53" xfId="0" applyFont="1" applyFill="1" applyBorder="1" applyAlignment="1" applyProtection="1">
      <alignment horizontal="center" vertical="center"/>
    </xf>
    <xf numFmtId="166" fontId="56" fillId="8" borderId="63" xfId="0" applyNumberFormat="1" applyFont="1" applyFill="1" applyBorder="1" applyAlignment="1" applyProtection="1">
      <alignment horizontal="center" vertical="center"/>
    </xf>
    <xf numFmtId="3" fontId="56" fillId="8" borderId="54" xfId="0" applyNumberFormat="1" applyFont="1" applyFill="1" applyBorder="1" applyAlignment="1" applyProtection="1">
      <alignment horizontal="center" vertical="center"/>
    </xf>
    <xf numFmtId="3" fontId="56" fillId="8" borderId="11" xfId="0" applyNumberFormat="1" applyFont="1" applyFill="1" applyBorder="1" applyAlignment="1" applyProtection="1">
      <alignment horizontal="center" vertical="center"/>
    </xf>
    <xf numFmtId="165" fontId="0" fillId="8" borderId="11" xfId="0" applyNumberFormat="1" applyFont="1" applyFill="1" applyBorder="1" applyAlignment="1" applyProtection="1">
      <alignment horizontal="center" vertical="center"/>
    </xf>
    <xf numFmtId="165" fontId="0" fillId="8" borderId="18" xfId="0" applyNumberFormat="1" applyFont="1" applyFill="1" applyBorder="1" applyAlignment="1" applyProtection="1">
      <alignment horizontal="center" vertical="center"/>
    </xf>
    <xf numFmtId="0" fontId="49" fillId="7" borderId="20" xfId="0" applyFont="1" applyFill="1" applyBorder="1" applyAlignment="1" applyProtection="1">
      <alignment horizontal="left" vertical="center"/>
    </xf>
    <xf numFmtId="3" fontId="49" fillId="7" borderId="56" xfId="0" applyNumberFormat="1" applyFont="1" applyFill="1" applyBorder="1" applyAlignment="1" applyProtection="1">
      <alignment horizontal="center" vertical="center"/>
    </xf>
    <xf numFmtId="166" fontId="49" fillId="7" borderId="64" xfId="0" applyNumberFormat="1" applyFont="1" applyFill="1" applyBorder="1" applyAlignment="1" applyProtection="1">
      <alignment horizontal="center" vertical="center"/>
    </xf>
    <xf numFmtId="3" fontId="49" fillId="7" borderId="57" xfId="0" applyNumberFormat="1" applyFont="1" applyFill="1" applyBorder="1" applyAlignment="1" applyProtection="1">
      <alignment horizontal="center" vertical="center"/>
    </xf>
    <xf numFmtId="3" fontId="49" fillId="7" borderId="6" xfId="0" applyNumberFormat="1" applyFont="1" applyFill="1" applyBorder="1" applyAlignment="1" applyProtection="1">
      <alignment horizontal="center" vertical="center"/>
    </xf>
    <xf numFmtId="0" fontId="0" fillId="7" borderId="6" xfId="0" applyFont="1" applyFill="1" applyBorder="1" applyAlignment="1" applyProtection="1">
      <alignment horizontal="center" vertical="center"/>
    </xf>
    <xf numFmtId="165" fontId="0" fillId="7" borderId="6" xfId="0" applyNumberFormat="1" applyFont="1" applyFill="1" applyBorder="1" applyAlignment="1" applyProtection="1">
      <alignment horizontal="center" vertical="center"/>
    </xf>
    <xf numFmtId="165" fontId="0" fillId="7" borderId="7" xfId="0" applyNumberFormat="1" applyFont="1" applyFill="1" applyBorder="1" applyAlignment="1" applyProtection="1">
      <alignment horizontal="center" vertical="center"/>
    </xf>
    <xf numFmtId="0" fontId="3" fillId="8" borderId="12" xfId="0" applyFont="1" applyFill="1" applyBorder="1" applyAlignment="1" applyProtection="1">
      <alignment horizontal="justify" vertical="top"/>
    </xf>
    <xf numFmtId="0" fontId="13" fillId="2" borderId="4" xfId="0" applyFont="1" applyFill="1" applyBorder="1" applyAlignment="1" applyProtection="1">
      <alignment horizontal="left" indent="1"/>
    </xf>
    <xf numFmtId="0" fontId="3" fillId="7" borderId="20" xfId="0" applyFont="1" applyFill="1" applyBorder="1" applyAlignment="1" applyProtection="1">
      <alignment horizontal="left" indent="1"/>
    </xf>
    <xf numFmtId="0" fontId="56" fillId="21" borderId="41" xfId="0" applyFont="1" applyFill="1" applyBorder="1" applyAlignment="1" applyProtection="1">
      <alignment horizontal="left" vertical="center"/>
    </xf>
    <xf numFmtId="3" fontId="56" fillId="21" borderId="40" xfId="0" applyNumberFormat="1" applyFont="1" applyFill="1" applyBorder="1" applyAlignment="1" applyProtection="1">
      <alignment horizontal="center" vertical="center"/>
    </xf>
    <xf numFmtId="3" fontId="56" fillId="21" borderId="63" xfId="0" applyNumberFormat="1" applyFont="1" applyFill="1" applyBorder="1" applyAlignment="1" applyProtection="1">
      <alignment horizontal="center" vertical="center"/>
    </xf>
    <xf numFmtId="3" fontId="56" fillId="21" borderId="69" xfId="0" applyNumberFormat="1" applyFont="1" applyFill="1" applyBorder="1" applyAlignment="1" applyProtection="1">
      <alignment horizontal="center" vertical="center"/>
    </xf>
    <xf numFmtId="3" fontId="56" fillId="21" borderId="39" xfId="0" applyNumberFormat="1" applyFont="1" applyFill="1" applyBorder="1" applyAlignment="1" applyProtection="1">
      <alignment horizontal="center" vertical="center"/>
    </xf>
    <xf numFmtId="0" fontId="81" fillId="20" borderId="79" xfId="0" applyFont="1" applyFill="1" applyBorder="1" applyAlignment="1" applyProtection="1">
      <alignment horizontal="center" vertical="center"/>
    </xf>
    <xf numFmtId="165" fontId="0" fillId="4" borderId="39" xfId="0" applyNumberFormat="1" applyFont="1" applyFill="1" applyBorder="1" applyAlignment="1" applyProtection="1">
      <alignment horizontal="center" vertical="center"/>
    </xf>
    <xf numFmtId="165" fontId="0" fillId="4" borderId="25" xfId="0" applyNumberFormat="1" applyFont="1" applyFill="1" applyBorder="1" applyAlignment="1" applyProtection="1">
      <alignment horizontal="center" vertical="center"/>
    </xf>
    <xf numFmtId="0" fontId="56" fillId="21" borderId="4" xfId="0" applyFont="1" applyFill="1" applyBorder="1" applyAlignment="1" applyProtection="1">
      <alignment horizontal="left" vertical="center"/>
    </xf>
    <xf numFmtId="3" fontId="56" fillId="21" borderId="42" xfId="0" applyNumberFormat="1" applyFont="1" applyFill="1" applyBorder="1" applyAlignment="1" applyProtection="1">
      <alignment horizontal="center" vertical="center"/>
    </xf>
    <xf numFmtId="3" fontId="56" fillId="21" borderId="30" xfId="0" applyNumberFormat="1" applyFont="1" applyFill="1" applyBorder="1" applyAlignment="1" applyProtection="1">
      <alignment horizontal="center" vertical="center"/>
    </xf>
    <xf numFmtId="3" fontId="56" fillId="21" borderId="55" xfId="0" applyNumberFormat="1" applyFont="1" applyFill="1" applyBorder="1" applyAlignment="1" applyProtection="1">
      <alignment horizontal="center" vertical="center"/>
    </xf>
    <xf numFmtId="3" fontId="56" fillId="21" borderId="2" xfId="0" applyNumberFormat="1" applyFont="1" applyFill="1" applyBorder="1" applyAlignment="1" applyProtection="1">
      <alignment horizontal="center" vertical="center"/>
    </xf>
    <xf numFmtId="0" fontId="81" fillId="20" borderId="55" xfId="0" applyFont="1" applyFill="1" applyBorder="1" applyAlignment="1" applyProtection="1">
      <alignment horizontal="center" vertical="center"/>
    </xf>
    <xf numFmtId="0" fontId="56" fillId="21" borderId="45" xfId="0" applyFont="1" applyFill="1" applyBorder="1" applyAlignment="1" applyProtection="1">
      <alignment horizontal="left" vertical="center"/>
    </xf>
    <xf numFmtId="3" fontId="56" fillId="21" borderId="49" xfId="0" applyNumberFormat="1" applyFont="1" applyFill="1" applyBorder="1" applyAlignment="1" applyProtection="1">
      <alignment horizontal="center" vertical="center"/>
    </xf>
    <xf numFmtId="3" fontId="56" fillId="21" borderId="48" xfId="0" applyNumberFormat="1" applyFont="1" applyFill="1" applyBorder="1" applyAlignment="1" applyProtection="1">
      <alignment horizontal="center" vertical="center"/>
    </xf>
    <xf numFmtId="3" fontId="56" fillId="21" borderId="70" xfId="0" applyNumberFormat="1" applyFont="1" applyFill="1" applyBorder="1" applyAlignment="1" applyProtection="1">
      <alignment horizontal="center" vertical="center"/>
    </xf>
    <xf numFmtId="3" fontId="56" fillId="21" borderId="46" xfId="0" applyNumberFormat="1" applyFont="1" applyFill="1" applyBorder="1" applyAlignment="1" applyProtection="1">
      <alignment horizontal="center" vertical="center"/>
    </xf>
    <xf numFmtId="0" fontId="81" fillId="20" borderId="70" xfId="0" applyFont="1" applyFill="1" applyBorder="1" applyAlignment="1" applyProtection="1">
      <alignment horizontal="center" vertical="center"/>
    </xf>
    <xf numFmtId="165" fontId="0" fillId="4" borderId="46" xfId="0" applyNumberFormat="1" applyFont="1" applyFill="1" applyBorder="1" applyAlignment="1" applyProtection="1">
      <alignment horizontal="center" vertical="center"/>
    </xf>
    <xf numFmtId="165" fontId="0" fillId="4" borderId="47" xfId="0" applyNumberFormat="1" applyFont="1" applyFill="1" applyBorder="1" applyAlignment="1" applyProtection="1">
      <alignment horizontal="center" vertical="center"/>
    </xf>
    <xf numFmtId="0" fontId="49" fillId="7" borderId="22" xfId="0" applyFont="1" applyFill="1" applyBorder="1" applyAlignment="1" applyProtection="1">
      <alignment horizontal="left" vertical="center"/>
    </xf>
    <xf numFmtId="3" fontId="49" fillId="7" borderId="61" xfId="0" applyNumberFormat="1" applyFont="1" applyFill="1" applyBorder="1" applyAlignment="1" applyProtection="1">
      <alignment horizontal="center" vertical="center"/>
    </xf>
    <xf numFmtId="3" fontId="49" fillId="7" borderId="59" xfId="0" applyNumberFormat="1" applyFont="1" applyFill="1" applyBorder="1" applyAlignment="1" applyProtection="1">
      <alignment horizontal="center" vertical="center"/>
    </xf>
    <xf numFmtId="3" fontId="49" fillId="7" borderId="60" xfId="0" applyNumberFormat="1" applyFont="1" applyFill="1" applyBorder="1" applyAlignment="1" applyProtection="1">
      <alignment horizontal="center" vertical="center"/>
    </xf>
    <xf numFmtId="3" fontId="49" fillId="7" borderId="23" xfId="0" applyNumberFormat="1" applyFont="1" applyFill="1" applyBorder="1" applyAlignment="1" applyProtection="1">
      <alignment horizontal="center" vertical="center"/>
    </xf>
    <xf numFmtId="0" fontId="66" fillId="7" borderId="23" xfId="0" applyFont="1" applyFill="1" applyBorder="1" applyAlignment="1" applyProtection="1">
      <alignment horizontal="center" vertical="center"/>
    </xf>
    <xf numFmtId="165" fontId="66" fillId="7" borderId="23" xfId="0" applyNumberFormat="1" applyFont="1" applyFill="1" applyBorder="1" applyAlignment="1" applyProtection="1">
      <alignment horizontal="center" vertical="center"/>
    </xf>
    <xf numFmtId="165" fontId="66" fillId="7" borderId="24" xfId="0" applyNumberFormat="1" applyFont="1" applyFill="1" applyBorder="1" applyAlignment="1" applyProtection="1">
      <alignment horizontal="center" vertical="center"/>
    </xf>
    <xf numFmtId="3" fontId="82" fillId="11" borderId="2" xfId="0" applyNumberFormat="1" applyFont="1" applyFill="1" applyBorder="1" applyAlignment="1" applyProtection="1">
      <alignment horizontal="center" vertical="center" wrapText="1"/>
    </xf>
    <xf numFmtId="0" fontId="1" fillId="0" borderId="2" xfId="0" applyFont="1" applyBorder="1" applyAlignment="1" applyProtection="1">
      <alignment horizontal="center"/>
      <protection locked="0"/>
    </xf>
    <xf numFmtId="0" fontId="1" fillId="0" borderId="5" xfId="0" applyFont="1" applyBorder="1" applyAlignment="1" applyProtection="1">
      <alignment horizontal="center"/>
      <protection locked="0"/>
    </xf>
    <xf numFmtId="166" fontId="0" fillId="2" borderId="2" xfId="0" applyNumberFormat="1" applyFont="1" applyFill="1" applyBorder="1" applyAlignment="1" applyProtection="1">
      <alignment horizontal="center" vertical="center" wrapText="1"/>
    </xf>
    <xf numFmtId="0" fontId="0" fillId="2" borderId="20" xfId="0" applyFont="1" applyFill="1" applyBorder="1" applyAlignment="1" applyProtection="1">
      <alignment horizontal="left" vertical="center" indent="1"/>
    </xf>
    <xf numFmtId="3" fontId="0" fillId="2" borderId="6" xfId="0" applyNumberFormat="1" applyFont="1" applyFill="1" applyBorder="1" applyAlignment="1" applyProtection="1">
      <alignment horizontal="center" vertical="center" wrapText="1"/>
    </xf>
    <xf numFmtId="0" fontId="51" fillId="2" borderId="39" xfId="0" applyFont="1" applyFill="1" applyBorder="1" applyProtection="1"/>
    <xf numFmtId="0" fontId="56" fillId="0" borderId="25" xfId="0" applyFont="1" applyBorder="1" applyAlignment="1" applyProtection="1">
      <alignment horizontal="center"/>
    </xf>
    <xf numFmtId="0" fontId="56" fillId="2" borderId="5" xfId="0" applyFont="1" applyFill="1" applyBorder="1" applyProtection="1"/>
    <xf numFmtId="3" fontId="56" fillId="4" borderId="2" xfId="0" applyNumberFormat="1" applyFont="1" applyFill="1" applyBorder="1" applyAlignment="1" applyProtection="1">
      <alignment horizontal="center" vertical="center" wrapText="1"/>
    </xf>
    <xf numFmtId="0" fontId="0" fillId="4" borderId="2" xfId="0" applyFont="1" applyFill="1" applyBorder="1" applyAlignment="1" applyProtection="1">
      <alignment horizontal="center" vertical="center" wrapText="1"/>
    </xf>
    <xf numFmtId="10" fontId="0" fillId="2" borderId="2" xfId="0" applyNumberFormat="1" applyFill="1" applyBorder="1" applyAlignment="1" applyProtection="1">
      <alignment horizontal="center" vertical="center"/>
    </xf>
    <xf numFmtId="3" fontId="83" fillId="11" borderId="2" xfId="0" applyNumberFormat="1" applyFont="1" applyFill="1" applyBorder="1" applyAlignment="1" applyProtection="1">
      <alignment horizontal="center"/>
    </xf>
    <xf numFmtId="3" fontId="57" fillId="4" borderId="2" xfId="0" applyNumberFormat="1" applyFont="1" applyFill="1" applyBorder="1" applyAlignment="1" applyProtection="1">
      <alignment horizontal="center" vertical="center" wrapText="1"/>
    </xf>
    <xf numFmtId="3" fontId="0" fillId="10" borderId="2" xfId="0" applyNumberFormat="1" applyFont="1" applyFill="1" applyBorder="1" applyAlignment="1" applyProtection="1">
      <alignment horizontal="center" vertical="center" wrapText="1"/>
    </xf>
    <xf numFmtId="4" fontId="0" fillId="10" borderId="2" xfId="0" applyNumberFormat="1" applyFont="1" applyFill="1" applyBorder="1" applyAlignment="1" applyProtection="1">
      <alignment horizontal="center" vertical="center" wrapText="1"/>
    </xf>
    <xf numFmtId="166" fontId="0" fillId="4" borderId="2" xfId="0" applyNumberFormat="1" applyFont="1" applyFill="1" applyBorder="1" applyAlignment="1" applyProtection="1">
      <alignment horizontal="center" vertical="center" wrapText="1"/>
    </xf>
    <xf numFmtId="0" fontId="48" fillId="4" borderId="4" xfId="0" applyFont="1" applyFill="1" applyBorder="1" applyAlignment="1" applyProtection="1">
      <alignment horizontal="left" vertical="center" indent="1"/>
    </xf>
    <xf numFmtId="3" fontId="82" fillId="11" borderId="6" xfId="0" applyNumberFormat="1" applyFont="1" applyFill="1" applyBorder="1" applyAlignment="1" applyProtection="1">
      <alignment horizontal="center" vertical="center" wrapText="1"/>
    </xf>
    <xf numFmtId="166" fontId="0" fillId="2" borderId="6" xfId="0" applyNumberFormat="1" applyFont="1" applyFill="1" applyBorder="1" applyAlignment="1" applyProtection="1">
      <alignment horizontal="center" vertical="center" wrapText="1"/>
    </xf>
    <xf numFmtId="167" fontId="0" fillId="2" borderId="6" xfId="0" applyNumberFormat="1" applyFont="1" applyFill="1" applyBorder="1" applyAlignment="1" applyProtection="1">
      <alignment horizontal="center" vertical="center" wrapText="1"/>
    </xf>
    <xf numFmtId="10" fontId="0" fillId="2" borderId="6" xfId="0" applyNumberFormat="1" applyFill="1" applyBorder="1" applyAlignment="1" applyProtection="1">
      <alignment horizontal="center" vertical="center"/>
    </xf>
    <xf numFmtId="0" fontId="44" fillId="2" borderId="4" xfId="0" applyFont="1" applyFill="1" applyBorder="1" applyAlignment="1" applyProtection="1">
      <alignment horizontal="left" vertical="center" indent="1"/>
    </xf>
    <xf numFmtId="2" fontId="0" fillId="2" borderId="2" xfId="0" applyNumberFormat="1" applyFont="1" applyFill="1" applyBorder="1" applyAlignment="1" applyProtection="1">
      <alignment horizontal="center" vertical="center" wrapText="1"/>
    </xf>
    <xf numFmtId="167" fontId="0" fillId="10" borderId="2" xfId="0" applyNumberFormat="1" applyFont="1" applyFill="1" applyBorder="1" applyAlignment="1" applyProtection="1">
      <alignment horizontal="center" vertical="center" wrapText="1"/>
    </xf>
    <xf numFmtId="3" fontId="0" fillId="10" borderId="2" xfId="0" applyNumberFormat="1" applyFont="1" applyFill="1" applyBorder="1" applyAlignment="1" applyProtection="1">
      <alignment horizontal="center" vertical="center" wrapText="1"/>
    </xf>
    <xf numFmtId="3" fontId="57" fillId="7" borderId="2" xfId="0" applyNumberFormat="1" applyFont="1" applyFill="1" applyBorder="1" applyAlignment="1" applyProtection="1">
      <alignment horizontal="center" vertical="center" wrapText="1"/>
    </xf>
    <xf numFmtId="0" fontId="57" fillId="2" borderId="5" xfId="0" applyFont="1" applyFill="1" applyBorder="1" applyAlignment="1" applyProtection="1">
      <alignment horizontal="center"/>
    </xf>
    <xf numFmtId="3" fontId="57" fillId="2" borderId="7" xfId="0" applyNumberFormat="1" applyFont="1" applyFill="1" applyBorder="1" applyAlignment="1" applyProtection="1">
      <alignment horizontal="center" vertical="center" wrapText="1"/>
    </xf>
    <xf numFmtId="3" fontId="0" fillId="11" borderId="2" xfId="0" applyNumberFormat="1" applyFont="1" applyFill="1" applyBorder="1" applyAlignment="1" applyProtection="1">
      <alignment horizontal="center" vertical="center" wrapText="1"/>
    </xf>
    <xf numFmtId="1" fontId="17" fillId="11" borderId="2" xfId="0" applyNumberFormat="1" applyFont="1" applyFill="1" applyBorder="1" applyAlignment="1" applyProtection="1">
      <alignment horizontal="center" vertical="center" wrapText="1"/>
    </xf>
    <xf numFmtId="9" fontId="21" fillId="2" borderId="39" xfId="7" applyFont="1" applyFill="1" applyBorder="1" applyAlignment="1">
      <alignment horizontal="center" vertical="center"/>
    </xf>
    <xf numFmtId="9" fontId="21" fillId="2" borderId="2" xfId="7" applyFont="1" applyFill="1" applyBorder="1" applyAlignment="1">
      <alignment horizontal="center" vertical="center"/>
    </xf>
    <xf numFmtId="9" fontId="21" fillId="2" borderId="46" xfId="7" applyFont="1" applyFill="1" applyBorder="1" applyAlignment="1">
      <alignment horizontal="center" vertical="center"/>
    </xf>
    <xf numFmtId="0" fontId="21" fillId="2" borderId="39" xfId="0" applyFont="1" applyFill="1" applyBorder="1" applyAlignment="1">
      <alignment horizontal="center" vertical="center"/>
    </xf>
    <xf numFmtId="0" fontId="21" fillId="2" borderId="2" xfId="0" applyFont="1" applyFill="1" applyBorder="1" applyAlignment="1">
      <alignment horizontal="center" vertical="center"/>
    </xf>
    <xf numFmtId="0" fontId="21" fillId="2" borderId="46" xfId="0" applyFont="1" applyFill="1" applyBorder="1" applyAlignment="1">
      <alignment horizontal="center" vertical="center"/>
    </xf>
    <xf numFmtId="0" fontId="51" fillId="2" borderId="41" xfId="0" applyFont="1" applyFill="1" applyBorder="1" applyAlignment="1">
      <alignment vertical="center" wrapText="1"/>
    </xf>
    <xf numFmtId="0" fontId="51" fillId="2" borderId="39" xfId="0" applyFont="1" applyFill="1" applyBorder="1" applyAlignment="1">
      <alignment vertical="center" wrapText="1"/>
    </xf>
    <xf numFmtId="0" fontId="51" fillId="2" borderId="4" xfId="0" applyFont="1" applyFill="1" applyBorder="1" applyAlignment="1">
      <alignment vertical="center" wrapText="1"/>
    </xf>
    <xf numFmtId="0" fontId="51" fillId="2" borderId="2" xfId="0" applyFont="1" applyFill="1" applyBorder="1" applyAlignment="1">
      <alignment vertical="center" wrapText="1"/>
    </xf>
    <xf numFmtId="0" fontId="51" fillId="2" borderId="45" xfId="0" applyFont="1" applyFill="1" applyBorder="1" applyAlignment="1">
      <alignment vertical="center" wrapText="1"/>
    </xf>
    <xf numFmtId="0" fontId="51" fillId="2" borderId="46" xfId="0" applyFont="1" applyFill="1" applyBorder="1" applyAlignment="1">
      <alignment vertical="center" wrapText="1"/>
    </xf>
    <xf numFmtId="9" fontId="38" fillId="2" borderId="39" xfId="7" applyFont="1" applyFill="1" applyBorder="1" applyAlignment="1">
      <alignment horizontal="center" vertical="center"/>
    </xf>
    <xf numFmtId="9" fontId="38" fillId="2" borderId="46" xfId="7" applyFont="1" applyFill="1" applyBorder="1" applyAlignment="1">
      <alignment horizontal="center" vertical="center"/>
    </xf>
    <xf numFmtId="9" fontId="21" fillId="2" borderId="25" xfId="7" applyFont="1" applyFill="1" applyBorder="1" applyAlignment="1">
      <alignment horizontal="center" vertical="center"/>
    </xf>
    <xf numFmtId="9" fontId="59" fillId="2" borderId="25" xfId="7" applyFont="1" applyFill="1" applyBorder="1" applyAlignment="1">
      <alignment horizontal="center" vertical="center"/>
    </xf>
    <xf numFmtId="9" fontId="59" fillId="2" borderId="47" xfId="7" applyFont="1" applyFill="1" applyBorder="1" applyAlignment="1">
      <alignment horizontal="center" vertical="center"/>
    </xf>
    <xf numFmtId="0" fontId="51" fillId="2" borderId="4" xfId="0" applyFont="1" applyFill="1" applyBorder="1" applyAlignment="1" applyProtection="1">
      <alignment horizontal="center" vertical="center"/>
    </xf>
    <xf numFmtId="0" fontId="51" fillId="2" borderId="42" xfId="0" applyFont="1" applyFill="1" applyBorder="1" applyAlignment="1" applyProtection="1">
      <alignment horizontal="center" vertical="center"/>
    </xf>
    <xf numFmtId="0" fontId="51" fillId="2" borderId="2" xfId="0" applyFont="1" applyFill="1" applyBorder="1" applyAlignment="1" applyProtection="1">
      <alignment horizontal="center" vertical="center"/>
    </xf>
    <xf numFmtId="165" fontId="51" fillId="2" borderId="5" xfId="7" applyNumberFormat="1" applyFont="1" applyFill="1" applyBorder="1" applyAlignment="1" applyProtection="1">
      <alignment horizontal="center" vertical="center"/>
    </xf>
    <xf numFmtId="165" fontId="51" fillId="2" borderId="42" xfId="7" applyNumberFormat="1" applyFont="1" applyFill="1" applyBorder="1" applyAlignment="1" applyProtection="1">
      <alignment horizontal="center" vertical="center"/>
    </xf>
    <xf numFmtId="3" fontId="51" fillId="2" borderId="4" xfId="0" applyNumberFormat="1" applyFont="1" applyFill="1" applyBorder="1" applyAlignment="1" applyProtection="1">
      <alignment horizontal="center" vertical="center"/>
    </xf>
    <xf numFmtId="165" fontId="51" fillId="0" borderId="0" xfId="7" applyNumberFormat="1" applyFont="1" applyFill="1" applyBorder="1" applyAlignment="1" applyProtection="1">
      <alignment horizontal="center" vertical="center"/>
    </xf>
    <xf numFmtId="165" fontId="51" fillId="2" borderId="19" xfId="7" applyNumberFormat="1" applyFont="1" applyFill="1" applyBorder="1" applyAlignment="1" applyProtection="1">
      <alignment horizontal="center" vertical="center"/>
    </xf>
    <xf numFmtId="165" fontId="51" fillId="2" borderId="76" xfId="7" applyNumberFormat="1" applyFont="1" applyFill="1" applyBorder="1" applyAlignment="1" applyProtection="1">
      <alignment horizontal="center" vertical="center"/>
    </xf>
    <xf numFmtId="165" fontId="51" fillId="9" borderId="10" xfId="0" applyNumberFormat="1" applyFont="1" applyFill="1" applyBorder="1" applyAlignment="1" applyProtection="1">
      <alignment horizontal="center" vertical="center"/>
    </xf>
    <xf numFmtId="165" fontId="51" fillId="9" borderId="80" xfId="0" applyNumberFormat="1" applyFont="1" applyFill="1" applyBorder="1" applyAlignment="1" applyProtection="1">
      <alignment horizontal="center" vertical="center"/>
    </xf>
    <xf numFmtId="3" fontId="51" fillId="9" borderId="4" xfId="0" applyNumberFormat="1" applyFont="1" applyFill="1" applyBorder="1" applyAlignment="1" applyProtection="1">
      <alignment horizontal="center" vertical="center"/>
    </xf>
    <xf numFmtId="3" fontId="51" fillId="9" borderId="2" xfId="0" applyNumberFormat="1" applyFont="1" applyFill="1" applyBorder="1" applyAlignment="1" applyProtection="1">
      <alignment horizontal="center" vertical="center"/>
    </xf>
    <xf numFmtId="0" fontId="51" fillId="9" borderId="5" xfId="0" applyFont="1" applyFill="1" applyBorder="1" applyAlignment="1" applyProtection="1">
      <alignment horizontal="center" vertical="center"/>
    </xf>
    <xf numFmtId="3" fontId="51" fillId="9" borderId="20" xfId="0" applyNumberFormat="1" applyFont="1" applyFill="1" applyBorder="1" applyAlignment="1" applyProtection="1">
      <alignment horizontal="center" vertical="center"/>
    </xf>
    <xf numFmtId="3" fontId="51" fillId="9" borderId="6" xfId="0" applyNumberFormat="1" applyFont="1" applyFill="1" applyBorder="1" applyAlignment="1" applyProtection="1">
      <alignment horizontal="center" vertical="center"/>
    </xf>
    <xf numFmtId="0" fontId="51" fillId="9" borderId="7" xfId="0" applyFont="1" applyFill="1" applyBorder="1" applyAlignment="1" applyProtection="1">
      <alignment horizontal="center" vertical="center"/>
    </xf>
    <xf numFmtId="167" fontId="78" fillId="2" borderId="57" xfId="7" applyNumberFormat="1" applyFont="1" applyFill="1" applyBorder="1" applyAlignment="1" applyProtection="1">
      <alignment horizontal="center" vertical="center"/>
    </xf>
    <xf numFmtId="167" fontId="78" fillId="2" borderId="7" xfId="7" applyNumberFormat="1" applyFont="1" applyFill="1" applyBorder="1" applyAlignment="1" applyProtection="1">
      <alignment horizontal="center" vertical="center"/>
    </xf>
    <xf numFmtId="9" fontId="57" fillId="2" borderId="5" xfId="7" applyFont="1" applyFill="1" applyBorder="1" applyAlignment="1" applyProtection="1">
      <alignment horizontal="center" vertical="center" wrapText="1"/>
    </xf>
    <xf numFmtId="168" fontId="82" fillId="2" borderId="2" xfId="0" applyNumberFormat="1" applyFont="1" applyFill="1" applyBorder="1" applyAlignment="1" applyProtection="1">
      <alignment horizontal="center" vertical="center" wrapText="1"/>
    </xf>
    <xf numFmtId="9" fontId="57" fillId="2" borderId="2" xfId="7" applyFont="1" applyFill="1" applyBorder="1" applyAlignment="1" applyProtection="1">
      <alignment horizontal="center" vertical="center" wrapText="1"/>
    </xf>
    <xf numFmtId="9" fontId="82" fillId="2" borderId="2" xfId="7" applyFont="1" applyFill="1" applyBorder="1" applyAlignment="1" applyProtection="1">
      <alignment horizontal="center" vertical="center" wrapText="1"/>
    </xf>
    <xf numFmtId="0" fontId="57" fillId="2" borderId="22" xfId="0" applyFont="1" applyFill="1" applyBorder="1" applyAlignment="1" applyProtection="1">
      <alignment horizontal="left" vertical="center" wrapText="1" indent="1"/>
    </xf>
    <xf numFmtId="9" fontId="82" fillId="2" borderId="23" xfId="7" applyFont="1" applyFill="1" applyBorder="1" applyAlignment="1" applyProtection="1">
      <alignment horizontal="center" vertical="center" wrapText="1"/>
    </xf>
    <xf numFmtId="165" fontId="57" fillId="2" borderId="24" xfId="0" applyNumberFormat="1" applyFont="1" applyFill="1" applyBorder="1" applyAlignment="1" applyProtection="1">
      <alignment horizontal="center" vertical="center" wrapText="1"/>
    </xf>
    <xf numFmtId="9" fontId="57" fillId="0" borderId="23" xfId="7" applyFont="1" applyFill="1" applyBorder="1" applyAlignment="1" applyProtection="1">
      <alignment horizontal="center" vertical="center" wrapText="1"/>
      <protection locked="0"/>
    </xf>
    <xf numFmtId="3" fontId="85" fillId="0" borderId="39" xfId="0" applyNumberFormat="1" applyFont="1" applyBorder="1" applyAlignment="1" applyProtection="1">
      <alignment horizontal="center" vertical="center"/>
      <protection locked="0"/>
    </xf>
    <xf numFmtId="3" fontId="85" fillId="0" borderId="2" xfId="0" applyNumberFormat="1" applyFont="1" applyBorder="1" applyAlignment="1" applyProtection="1">
      <alignment horizontal="center" vertical="center"/>
      <protection locked="0"/>
    </xf>
    <xf numFmtId="3" fontId="85" fillId="0" borderId="46" xfId="0" applyNumberFormat="1" applyFont="1" applyBorder="1" applyAlignment="1" applyProtection="1">
      <alignment horizontal="center" vertical="center"/>
      <protection locked="0"/>
    </xf>
    <xf numFmtId="0" fontId="85" fillId="0" borderId="39" xfId="0" applyFont="1" applyBorder="1" applyAlignment="1" applyProtection="1">
      <alignment horizontal="center" vertical="center"/>
      <protection locked="0"/>
    </xf>
    <xf numFmtId="0" fontId="85" fillId="0" borderId="2" xfId="0" applyFont="1" applyBorder="1" applyAlignment="1" applyProtection="1">
      <alignment horizontal="center" vertical="center"/>
      <protection locked="0"/>
    </xf>
    <xf numFmtId="0" fontId="85" fillId="0" borderId="46" xfId="0" applyFont="1" applyBorder="1" applyAlignment="1" applyProtection="1">
      <alignment horizontal="center" vertical="center"/>
      <protection locked="0"/>
    </xf>
    <xf numFmtId="0" fontId="86" fillId="0" borderId="40" xfId="0" applyFont="1" applyBorder="1" applyProtection="1"/>
    <xf numFmtId="3" fontId="87" fillId="24" borderId="39" xfId="0" applyNumberFormat="1" applyFont="1" applyFill="1" applyBorder="1" applyAlignment="1" applyProtection="1">
      <alignment horizontal="center" vertical="center" wrapText="1"/>
    </xf>
    <xf numFmtId="0" fontId="86" fillId="0" borderId="42" xfId="0" applyFont="1" applyBorder="1" applyProtection="1"/>
    <xf numFmtId="3" fontId="87" fillId="24" borderId="2" xfId="0" applyNumberFormat="1" applyFont="1" applyFill="1" applyBorder="1" applyAlignment="1" applyProtection="1">
      <alignment horizontal="center" vertical="center" wrapText="1"/>
    </xf>
    <xf numFmtId="0" fontId="86" fillId="0" borderId="49" xfId="0" applyFont="1" applyBorder="1" applyProtection="1"/>
    <xf numFmtId="3" fontId="87" fillId="24" borderId="46" xfId="0" applyNumberFormat="1" applyFont="1" applyFill="1" applyBorder="1" applyAlignment="1" applyProtection="1">
      <alignment horizontal="center" vertical="center" wrapText="1"/>
      <protection locked="0"/>
    </xf>
    <xf numFmtId="0" fontId="88" fillId="0" borderId="39" xfId="0" applyFont="1" applyFill="1" applyBorder="1" applyAlignment="1" applyProtection="1">
      <alignment vertical="center" wrapText="1"/>
      <protection locked="0"/>
    </xf>
    <xf numFmtId="3" fontId="88" fillId="0" borderId="39" xfId="0" applyNumberFormat="1" applyFont="1" applyFill="1" applyBorder="1" applyAlignment="1" applyProtection="1">
      <alignment horizontal="center" vertical="center" wrapText="1"/>
      <protection locked="0"/>
    </xf>
    <xf numFmtId="0" fontId="88" fillId="0" borderId="2" xfId="0" applyFont="1" applyFill="1" applyBorder="1" applyAlignment="1" applyProtection="1">
      <alignment vertical="center" wrapText="1"/>
      <protection locked="0"/>
    </xf>
    <xf numFmtId="3" fontId="88" fillId="0" borderId="2" xfId="0" applyNumberFormat="1" applyFont="1" applyFill="1" applyBorder="1" applyAlignment="1" applyProtection="1">
      <alignment horizontal="center" vertical="center" wrapText="1"/>
      <protection locked="0"/>
    </xf>
    <xf numFmtId="3" fontId="88" fillId="0" borderId="46" xfId="0" applyNumberFormat="1" applyFont="1" applyFill="1" applyBorder="1" applyAlignment="1" applyProtection="1">
      <alignment horizontal="center" vertical="center" wrapText="1"/>
      <protection locked="0"/>
    </xf>
    <xf numFmtId="0" fontId="88" fillId="0" borderId="2" xfId="0" applyFont="1" applyFill="1" applyBorder="1" applyAlignment="1" applyProtection="1">
      <alignment horizontal="center" vertical="center" wrapText="1"/>
    </xf>
    <xf numFmtId="0" fontId="88" fillId="0" borderId="2" xfId="0" applyFont="1" applyFill="1" applyBorder="1" applyAlignment="1" applyProtection="1">
      <alignment vertical="center" wrapText="1"/>
    </xf>
    <xf numFmtId="3" fontId="88" fillId="0" borderId="2" xfId="0"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horizontal="center" wrapText="1"/>
      <protection locked="0"/>
    </xf>
    <xf numFmtId="3" fontId="5" fillId="0" borderId="1" xfId="0" applyNumberFormat="1" applyFont="1" applyFill="1" applyBorder="1" applyAlignment="1" applyProtection="1">
      <alignment horizontal="right" wrapText="1"/>
      <protection locked="0"/>
    </xf>
    <xf numFmtId="3" fontId="5" fillId="0" borderId="81" xfId="0" applyNumberFormat="1" applyFont="1" applyFill="1" applyBorder="1" applyAlignment="1" applyProtection="1">
      <alignment horizontal="right" wrapText="1"/>
      <protection locked="0"/>
    </xf>
    <xf numFmtId="3" fontId="89" fillId="0" borderId="2" xfId="0" applyNumberFormat="1" applyFont="1" applyFill="1" applyBorder="1" applyAlignment="1" applyProtection="1">
      <alignment horizontal="center" vertical="center" wrapText="1"/>
      <protection locked="0"/>
    </xf>
    <xf numFmtId="3" fontId="0" fillId="0" borderId="81" xfId="0" applyNumberFormat="1" applyBorder="1" applyProtection="1">
      <protection locked="0"/>
    </xf>
    <xf numFmtId="3" fontId="0" fillId="0" borderId="2" xfId="0" applyNumberFormat="1" applyFill="1" applyBorder="1" applyAlignment="1" applyProtection="1">
      <alignment horizontal="center"/>
      <protection locked="0"/>
    </xf>
    <xf numFmtId="0" fontId="0" fillId="0" borderId="4" xfId="0" applyBorder="1" applyAlignment="1" applyProtection="1">
      <alignment horizontal="center"/>
      <protection locked="0"/>
    </xf>
    <xf numFmtId="0" fontId="0" fillId="0" borderId="4" xfId="0" applyFont="1" applyBorder="1" applyAlignment="1" applyProtection="1">
      <alignment horizontal="center" vertical="center"/>
      <protection locked="0"/>
    </xf>
    <xf numFmtId="3" fontId="13" fillId="0" borderId="4" xfId="0" applyNumberFormat="1" applyFont="1" applyFill="1" applyBorder="1" applyAlignment="1" applyProtection="1">
      <alignment horizontal="center" vertical="center"/>
      <protection locked="0"/>
    </xf>
    <xf numFmtId="3" fontId="13" fillId="0" borderId="5" xfId="0" applyNumberFormat="1" applyFont="1" applyFill="1" applyBorder="1" applyAlignment="1" applyProtection="1">
      <alignment horizontal="center" vertical="center"/>
      <protection locked="0"/>
    </xf>
    <xf numFmtId="3" fontId="0" fillId="0" borderId="9" xfId="0" applyNumberFormat="1" applyBorder="1" applyAlignment="1" applyProtection="1">
      <alignment horizontal="center" vertical="center"/>
      <protection locked="0"/>
    </xf>
    <xf numFmtId="3" fontId="90" fillId="0" borderId="39" xfId="0" applyNumberFormat="1" applyFont="1" applyBorder="1" applyAlignment="1" applyProtection="1">
      <alignment horizontal="center" vertical="center"/>
      <protection locked="0"/>
    </xf>
    <xf numFmtId="3" fontId="0" fillId="0" borderId="39" xfId="0" applyNumberFormat="1" applyFont="1" applyBorder="1" applyAlignment="1" applyProtection="1">
      <alignment horizontal="center" vertical="center"/>
      <protection locked="0"/>
    </xf>
    <xf numFmtId="3" fontId="90" fillId="0" borderId="2" xfId="0" applyNumberFormat="1" applyFont="1" applyBorder="1" applyAlignment="1" applyProtection="1">
      <alignment horizontal="center" vertical="center"/>
      <protection locked="0"/>
    </xf>
    <xf numFmtId="3" fontId="0" fillId="0" borderId="2" xfId="0" applyNumberFormat="1" applyFont="1" applyBorder="1" applyAlignment="1" applyProtection="1">
      <alignment horizontal="center" vertical="center"/>
      <protection locked="0"/>
    </xf>
    <xf numFmtId="3" fontId="90" fillId="0" borderId="46" xfId="0" applyNumberFormat="1" applyFont="1" applyBorder="1" applyAlignment="1" applyProtection="1">
      <alignment horizontal="center" vertical="center"/>
      <protection locked="0"/>
    </xf>
    <xf numFmtId="3" fontId="0" fillId="0" borderId="46" xfId="0" applyNumberFormat="1" applyFont="1" applyBorder="1" applyAlignment="1" applyProtection="1">
      <alignment horizontal="center" vertical="center"/>
      <protection locked="0"/>
    </xf>
    <xf numFmtId="3" fontId="90" fillId="0" borderId="41" xfId="0" applyNumberFormat="1" applyFont="1" applyBorder="1" applyAlignment="1" applyProtection="1">
      <alignment horizontal="center" vertical="center"/>
      <protection locked="0"/>
    </xf>
    <xf numFmtId="3" fontId="90" fillId="0" borderId="4" xfId="0" applyNumberFormat="1" applyFont="1" applyBorder="1" applyAlignment="1" applyProtection="1">
      <alignment horizontal="center" vertical="center"/>
      <protection locked="0"/>
    </xf>
    <xf numFmtId="0" fontId="15" fillId="0" borderId="2" xfId="0" applyFont="1" applyFill="1" applyBorder="1" applyAlignment="1" applyProtection="1">
      <alignment horizontal="center" vertical="center" wrapText="1"/>
      <protection locked="0"/>
    </xf>
    <xf numFmtId="0" fontId="91" fillId="0" borderId="2" xfId="0" applyFont="1" applyFill="1" applyBorder="1" applyAlignment="1" applyProtection="1">
      <alignment horizontal="center" vertical="center" wrapText="1"/>
      <protection locked="0"/>
    </xf>
    <xf numFmtId="168" fontId="15" fillId="0" borderId="2" xfId="0" applyNumberFormat="1" applyFont="1" applyFill="1" applyBorder="1" applyAlignment="1" applyProtection="1">
      <alignment horizontal="center" vertical="top" wrapText="1"/>
      <protection locked="0"/>
    </xf>
    <xf numFmtId="168" fontId="91" fillId="0" borderId="2" xfId="0" applyNumberFormat="1" applyFont="1" applyFill="1" applyBorder="1" applyAlignment="1" applyProtection="1">
      <alignment horizontal="center" vertical="center" wrapText="1"/>
      <protection locked="0"/>
    </xf>
    <xf numFmtId="0" fontId="0" fillId="0" borderId="5" xfId="0" applyFont="1" applyBorder="1" applyAlignment="1" applyProtection="1">
      <alignment horizontal="center"/>
      <protection locked="0"/>
    </xf>
    <xf numFmtId="0" fontId="90" fillId="0" borderId="5" xfId="0" applyFont="1" applyBorder="1" applyAlignment="1" applyProtection="1">
      <alignment horizontal="center"/>
      <protection locked="0"/>
    </xf>
    <xf numFmtId="0" fontId="77" fillId="2" borderId="18" xfId="6" applyNumberFormat="1" applyFont="1" applyFill="1" applyBorder="1" applyAlignment="1">
      <alignment horizontal="left" vertical="center" wrapText="1" indent="2"/>
    </xf>
    <xf numFmtId="0" fontId="3" fillId="0" borderId="12" xfId="6" applyFont="1" applyFill="1" applyBorder="1" applyAlignment="1" applyProtection="1">
      <alignment vertical="center" wrapText="1"/>
      <protection locked="0"/>
    </xf>
    <xf numFmtId="0" fontId="3" fillId="0" borderId="4" xfId="6" applyFont="1" applyFill="1" applyBorder="1" applyAlignment="1" applyProtection="1">
      <alignment vertical="center" wrapText="1"/>
      <protection locked="0"/>
    </xf>
    <xf numFmtId="0" fontId="13" fillId="2" borderId="5" xfId="6" applyFont="1" applyFill="1" applyBorder="1" applyAlignment="1" applyProtection="1">
      <alignment horizontal="left" vertical="center" wrapText="1" indent="1"/>
    </xf>
    <xf numFmtId="0" fontId="92" fillId="0" borderId="0" xfId="0" applyFont="1" applyAlignment="1">
      <alignment horizontal="justify"/>
    </xf>
    <xf numFmtId="0" fontId="92" fillId="0" borderId="0" xfId="0" applyFont="1" applyAlignment="1" applyProtection="1">
      <alignment horizontal="justify"/>
      <protection locked="0"/>
    </xf>
    <xf numFmtId="10" fontId="73" fillId="0" borderId="2" xfId="0" applyNumberFormat="1" applyFont="1" applyBorder="1" applyAlignment="1" applyProtection="1">
      <alignment horizontal="center" vertical="center" wrapText="1"/>
      <protection locked="0"/>
    </xf>
    <xf numFmtId="10" fontId="0" fillId="0" borderId="2" xfId="0" applyNumberFormat="1" applyFont="1" applyBorder="1" applyProtection="1">
      <protection locked="0"/>
    </xf>
    <xf numFmtId="10" fontId="0" fillId="0" borderId="2" xfId="0" applyNumberFormat="1" applyBorder="1" applyProtection="1">
      <protection locked="0"/>
    </xf>
    <xf numFmtId="10" fontId="0" fillId="0" borderId="6" xfId="0" applyNumberFormat="1" applyFont="1" applyBorder="1" applyProtection="1">
      <protection locked="0"/>
    </xf>
    <xf numFmtId="0" fontId="13" fillId="0" borderId="0" xfId="0" applyFont="1" applyProtection="1">
      <protection locked="0"/>
    </xf>
    <xf numFmtId="0" fontId="0" fillId="0" borderId="2" xfId="0" applyBorder="1" applyProtection="1">
      <protection locked="0"/>
    </xf>
    <xf numFmtId="0" fontId="13" fillId="0" borderId="0" xfId="6" applyFont="1" applyFill="1" applyBorder="1" applyAlignment="1" applyProtection="1">
      <alignment vertical="center" wrapText="1"/>
      <protection locked="0"/>
    </xf>
    <xf numFmtId="0" fontId="13" fillId="2" borderId="67" xfId="6" applyFont="1" applyFill="1" applyBorder="1" applyAlignment="1" applyProtection="1">
      <alignment vertical="center" wrapText="1"/>
      <protection locked="0"/>
    </xf>
    <xf numFmtId="0" fontId="13" fillId="2" borderId="82" xfId="6" applyFont="1" applyFill="1" applyBorder="1" applyAlignment="1" applyProtection="1">
      <alignment vertical="center" wrapText="1"/>
      <protection locked="0"/>
    </xf>
    <xf numFmtId="0" fontId="13" fillId="2" borderId="83" xfId="6" applyFont="1" applyFill="1" applyBorder="1" applyAlignment="1" applyProtection="1">
      <alignment vertical="center" wrapText="1"/>
      <protection locked="0"/>
    </xf>
    <xf numFmtId="0" fontId="3" fillId="0" borderId="0" xfId="6" applyFont="1" applyFill="1" applyBorder="1" applyAlignment="1">
      <alignment vertical="top" wrapText="1"/>
    </xf>
    <xf numFmtId="0" fontId="13" fillId="0" borderId="82" xfId="6" applyBorder="1" applyAlignment="1">
      <alignment vertical="center" wrapText="1"/>
    </xf>
    <xf numFmtId="0" fontId="13" fillId="0" borderId="83" xfId="6" applyBorder="1" applyAlignment="1">
      <alignment vertical="center" wrapText="1"/>
    </xf>
    <xf numFmtId="0" fontId="3" fillId="0" borderId="0" xfId="6" applyFont="1" applyFill="1" applyBorder="1" applyAlignment="1">
      <alignment horizontal="center" vertical="center"/>
    </xf>
    <xf numFmtId="0" fontId="4" fillId="2" borderId="67" xfId="1" applyFill="1" applyBorder="1" applyAlignment="1" applyProtection="1">
      <alignment vertical="center" wrapText="1"/>
      <protection locked="0"/>
    </xf>
    <xf numFmtId="0" fontId="13" fillId="2" borderId="82" xfId="6" applyFill="1" applyBorder="1" applyAlignment="1" applyProtection="1">
      <alignment vertical="center" wrapText="1"/>
      <protection locked="0"/>
    </xf>
    <xf numFmtId="0" fontId="13" fillId="2" borderId="83" xfId="6" applyFill="1" applyBorder="1" applyAlignment="1" applyProtection="1">
      <alignment vertical="center" wrapText="1"/>
      <protection locked="0"/>
    </xf>
    <xf numFmtId="0" fontId="24" fillId="0" borderId="0" xfId="6" applyFont="1" applyFill="1" applyBorder="1" applyAlignment="1" applyProtection="1">
      <alignment horizontal="center" vertical="center"/>
    </xf>
    <xf numFmtId="0" fontId="28" fillId="0" borderId="0" xfId="6" applyFont="1" applyFill="1" applyBorder="1" applyAlignment="1" applyProtection="1">
      <alignment horizontal="center" vertical="center"/>
    </xf>
    <xf numFmtId="0" fontId="12" fillId="0" borderId="0" xfId="6" applyFont="1" applyFill="1" applyBorder="1" applyAlignment="1" applyProtection="1">
      <alignment horizontal="center" vertical="center"/>
    </xf>
    <xf numFmtId="0" fontId="3" fillId="0" borderId="0" xfId="6" applyFont="1" applyFill="1" applyBorder="1" applyAlignment="1">
      <alignment horizontal="center" vertical="center" wrapText="1"/>
    </xf>
    <xf numFmtId="0" fontId="3" fillId="0" borderId="43" xfId="6" applyFont="1" applyFill="1" applyBorder="1" applyAlignment="1" applyProtection="1">
      <alignment horizontal="left" vertical="center" wrapText="1"/>
    </xf>
    <xf numFmtId="0" fontId="3" fillId="0" borderId="71" xfId="6" applyFont="1" applyFill="1" applyBorder="1" applyAlignment="1" applyProtection="1">
      <alignment horizontal="left" vertical="center" wrapText="1"/>
    </xf>
    <xf numFmtId="0" fontId="3" fillId="0" borderId="22" xfId="6" applyFont="1" applyFill="1" applyBorder="1" applyAlignment="1" applyProtection="1">
      <alignment horizontal="left" vertical="center" wrapText="1"/>
    </xf>
    <xf numFmtId="0" fontId="13" fillId="0" borderId="0" xfId="6" applyFont="1" applyAlignment="1">
      <alignment horizontal="left"/>
    </xf>
    <xf numFmtId="0" fontId="3" fillId="0" borderId="67" xfId="6" applyFont="1" applyFill="1" applyBorder="1" applyAlignment="1">
      <alignment vertical="center" wrapText="1"/>
    </xf>
    <xf numFmtId="0" fontId="0" fillId="0" borderId="84" xfId="0" applyBorder="1" applyAlignment="1">
      <alignment vertical="center" wrapText="1"/>
    </xf>
    <xf numFmtId="0" fontId="3" fillId="0" borderId="62" xfId="6" applyFont="1" applyFill="1" applyBorder="1" applyAlignment="1">
      <alignment vertical="center" wrapText="1"/>
    </xf>
    <xf numFmtId="0" fontId="0" fillId="0" borderId="55" xfId="0" applyBorder="1" applyAlignment="1">
      <alignment vertical="center" wrapText="1"/>
    </xf>
    <xf numFmtId="0" fontId="28" fillId="0" borderId="0" xfId="6" applyFont="1" applyAlignment="1" applyProtection="1">
      <alignment horizontal="center" vertical="center"/>
      <protection locked="0"/>
    </xf>
    <xf numFmtId="0" fontId="12" fillId="0" borderId="0" xfId="6" applyFont="1" applyAlignment="1" applyProtection="1">
      <alignment horizontal="center" vertical="center"/>
      <protection locked="0"/>
    </xf>
    <xf numFmtId="0" fontId="3" fillId="0" borderId="0" xfId="6" applyFont="1" applyAlignment="1" applyProtection="1">
      <alignment horizontal="center" vertical="center" wrapText="1"/>
      <protection locked="0"/>
    </xf>
    <xf numFmtId="0" fontId="13" fillId="0" borderId="0" xfId="6" applyAlignment="1">
      <alignment horizontal="center" vertical="center" wrapText="1"/>
    </xf>
    <xf numFmtId="0" fontId="3" fillId="0" borderId="4" xfId="6" applyFont="1" applyFill="1" applyBorder="1" applyAlignment="1" applyProtection="1">
      <alignment horizontal="left" vertical="center" wrapText="1"/>
    </xf>
    <xf numFmtId="0" fontId="3" fillId="0" borderId="20" xfId="6" applyFont="1" applyFill="1" applyBorder="1" applyAlignment="1" applyProtection="1">
      <alignment horizontal="left" vertical="center" wrapText="1"/>
    </xf>
    <xf numFmtId="0" fontId="0" fillId="0" borderId="0" xfId="0" applyAlignment="1">
      <alignment vertical="center" wrapText="1"/>
    </xf>
    <xf numFmtId="0" fontId="35" fillId="6" borderId="0" xfId="0" applyFont="1" applyFill="1" applyAlignment="1">
      <alignment horizontal="center" vertical="center" wrapText="1"/>
    </xf>
    <xf numFmtId="0" fontId="36" fillId="6" borderId="0" xfId="0" applyFont="1" applyFill="1" applyAlignment="1">
      <alignment horizontal="center" vertical="center" wrapText="1"/>
    </xf>
    <xf numFmtId="0" fontId="35" fillId="6" borderId="0" xfId="0" applyFont="1" applyFill="1" applyAlignment="1">
      <alignment horizontal="center" vertical="center"/>
    </xf>
    <xf numFmtId="0" fontId="34" fillId="0" borderId="0" xfId="0" applyFont="1" applyAlignment="1">
      <alignment horizontal="center"/>
    </xf>
    <xf numFmtId="0" fontId="37" fillId="0" borderId="0" xfId="0" applyFont="1" applyAlignment="1">
      <alignment vertical="center" wrapText="1"/>
    </xf>
    <xf numFmtId="0" fontId="28" fillId="0" borderId="0" xfId="0" applyFont="1" applyAlignment="1">
      <alignment horizontal="center"/>
    </xf>
    <xf numFmtId="0" fontId="14" fillId="2" borderId="42" xfId="0" applyFont="1" applyFill="1" applyBorder="1" applyAlignment="1">
      <alignment horizontal="left" vertical="center" wrapText="1"/>
    </xf>
    <xf numFmtId="0" fontId="14" fillId="2" borderId="85" xfId="0" applyFont="1" applyFill="1" applyBorder="1" applyAlignment="1">
      <alignment horizontal="left" vertical="center" wrapText="1"/>
    </xf>
    <xf numFmtId="0" fontId="14" fillId="2" borderId="55" xfId="0" applyFont="1" applyFill="1" applyBorder="1" applyAlignment="1">
      <alignment horizontal="left" vertical="center" wrapText="1"/>
    </xf>
    <xf numFmtId="0" fontId="0" fillId="0" borderId="0" xfId="0" applyAlignment="1">
      <alignment horizontal="center" vertical="center" wrapText="1"/>
    </xf>
    <xf numFmtId="0" fontId="51" fillId="0" borderId="0" xfId="0" applyFont="1" applyFill="1" applyBorder="1" applyAlignment="1">
      <alignment horizontal="left" vertical="center" wrapText="1"/>
    </xf>
    <xf numFmtId="0" fontId="84" fillId="22" borderId="62" xfId="0" applyFont="1" applyFill="1" applyBorder="1" applyAlignment="1">
      <alignment horizontal="left"/>
    </xf>
    <xf numFmtId="0" fontId="84" fillId="22" borderId="85" xfId="0" applyFont="1" applyFill="1" applyBorder="1" applyAlignment="1">
      <alignment horizontal="left"/>
    </xf>
    <xf numFmtId="0" fontId="84" fillId="22" borderId="86" xfId="0" applyFont="1" applyFill="1" applyBorder="1" applyAlignment="1">
      <alignment horizontal="left"/>
    </xf>
    <xf numFmtId="0" fontId="84" fillId="22" borderId="62" xfId="0" applyFont="1" applyFill="1" applyBorder="1" applyAlignment="1">
      <alignment horizontal="left" vertical="center" wrapText="1"/>
    </xf>
    <xf numFmtId="0" fontId="84" fillId="22" borderId="85" xfId="0" applyFont="1" applyFill="1" applyBorder="1" applyAlignment="1">
      <alignment horizontal="left" vertical="center" wrapText="1"/>
    </xf>
    <xf numFmtId="0" fontId="84" fillId="22" borderId="86" xfId="0" applyFont="1" applyFill="1" applyBorder="1" applyAlignment="1">
      <alignment horizontal="left" vertical="center" wrapText="1"/>
    </xf>
    <xf numFmtId="0" fontId="51" fillId="0" borderId="0" xfId="0" applyFont="1" applyFill="1" applyBorder="1" applyAlignment="1">
      <alignment horizontal="left" vertical="center"/>
    </xf>
    <xf numFmtId="0" fontId="49" fillId="2" borderId="11" xfId="0" applyFont="1" applyFill="1" applyBorder="1" applyAlignment="1">
      <alignment horizontal="center" vertical="center" wrapText="1"/>
    </xf>
    <xf numFmtId="0" fontId="49" fillId="2" borderId="18" xfId="0" applyFont="1" applyFill="1" applyBorder="1" applyAlignment="1">
      <alignment horizontal="center" vertical="center" wrapText="1"/>
    </xf>
    <xf numFmtId="0" fontId="78" fillId="2" borderId="18" xfId="0" applyFont="1" applyFill="1" applyBorder="1" applyAlignment="1" applyProtection="1">
      <alignment horizontal="center" vertical="center" wrapText="1"/>
    </xf>
    <xf numFmtId="0" fontId="78" fillId="2" borderId="5" xfId="0" applyFont="1" applyFill="1" applyBorder="1" applyAlignment="1" applyProtection="1">
      <alignment horizontal="center" vertical="center" wrapText="1"/>
    </xf>
    <xf numFmtId="0" fontId="78" fillId="0" borderId="0" xfId="0" applyFont="1" applyFill="1" applyBorder="1" applyAlignment="1" applyProtection="1">
      <alignment horizontal="center" vertical="center"/>
    </xf>
    <xf numFmtId="0" fontId="78" fillId="0" borderId="0" xfId="0" applyFont="1" applyFill="1" applyBorder="1" applyAlignment="1" applyProtection="1">
      <alignment horizontal="center" vertical="center" wrapText="1"/>
    </xf>
    <xf numFmtId="0" fontId="78" fillId="4" borderId="72" xfId="0" applyFont="1" applyFill="1" applyBorder="1" applyAlignment="1" applyProtection="1">
      <alignment horizontal="center" vertical="center" wrapText="1"/>
    </xf>
    <xf numFmtId="0" fontId="78" fillId="4" borderId="74" xfId="0" applyFont="1" applyFill="1" applyBorder="1" applyAlignment="1" applyProtection="1">
      <alignment horizontal="center" vertical="center" wrapText="1"/>
    </xf>
    <xf numFmtId="0" fontId="78" fillId="4" borderId="13" xfId="0" applyFont="1" applyFill="1" applyBorder="1" applyAlignment="1" applyProtection="1">
      <alignment horizontal="center" vertical="center" wrapText="1"/>
    </xf>
    <xf numFmtId="0" fontId="78" fillId="2" borderId="12" xfId="0" applyFont="1" applyFill="1" applyBorder="1" applyAlignment="1" applyProtection="1">
      <alignment horizontal="center" vertical="center" wrapText="1"/>
    </xf>
    <xf numFmtId="0" fontId="78" fillId="2" borderId="4" xfId="0" applyFont="1" applyFill="1" applyBorder="1" applyAlignment="1" applyProtection="1">
      <alignment horizontal="center" vertical="center" wrapText="1"/>
    </xf>
    <xf numFmtId="0" fontId="78" fillId="2" borderId="11" xfId="0" applyFont="1" applyFill="1" applyBorder="1" applyAlignment="1" applyProtection="1">
      <alignment horizontal="center" vertical="center" wrapText="1"/>
    </xf>
    <xf numFmtId="0" fontId="78" fillId="2" borderId="2" xfId="0" applyFont="1" applyFill="1" applyBorder="1" applyAlignment="1" applyProtection="1">
      <alignment horizontal="center" vertical="center" wrapText="1"/>
    </xf>
    <xf numFmtId="0" fontId="78" fillId="4" borderId="72" xfId="0" applyFont="1" applyFill="1" applyBorder="1" applyAlignment="1" applyProtection="1">
      <alignment horizontal="center" vertical="center"/>
    </xf>
    <xf numFmtId="0" fontId="78" fillId="4" borderId="13" xfId="0" applyFont="1" applyFill="1" applyBorder="1" applyAlignment="1" applyProtection="1">
      <alignment horizontal="center" vertical="center"/>
    </xf>
    <xf numFmtId="0" fontId="78" fillId="4" borderId="74" xfId="0" applyFont="1" applyFill="1" applyBorder="1" applyAlignment="1" applyProtection="1">
      <alignment horizontal="center" vertical="center"/>
    </xf>
    <xf numFmtId="0" fontId="78" fillId="4" borderId="67" xfId="0" applyFont="1" applyFill="1" applyBorder="1" applyAlignment="1" applyProtection="1">
      <alignment horizontal="center" vertical="center" wrapText="1"/>
    </xf>
    <xf numFmtId="0" fontId="78" fillId="4" borderId="82" xfId="0" applyFont="1" applyFill="1" applyBorder="1" applyAlignment="1" applyProtection="1">
      <alignment horizontal="center" vertical="center" wrapText="1"/>
    </xf>
    <xf numFmtId="0" fontId="78" fillId="4" borderId="83" xfId="0" applyFont="1" applyFill="1" applyBorder="1" applyAlignment="1" applyProtection="1">
      <alignment horizontal="center" vertical="center" wrapText="1"/>
    </xf>
    <xf numFmtId="0" fontId="50" fillId="2" borderId="54" xfId="0" applyFont="1" applyFill="1" applyBorder="1" applyAlignment="1" applyProtection="1">
      <alignment horizontal="center" vertical="center" wrapText="1"/>
    </xf>
    <xf numFmtId="0" fontId="50" fillId="2" borderId="55" xfId="0" applyFont="1" applyFill="1" applyBorder="1" applyAlignment="1" applyProtection="1">
      <alignment horizontal="center" vertical="center" wrapText="1"/>
    </xf>
    <xf numFmtId="0" fontId="50" fillId="2" borderId="18" xfId="0" applyFont="1" applyFill="1" applyBorder="1" applyAlignment="1" applyProtection="1">
      <alignment horizontal="center" vertical="center" wrapText="1"/>
    </xf>
    <xf numFmtId="0" fontId="50" fillId="2" borderId="5" xfId="0" applyFont="1" applyFill="1" applyBorder="1" applyAlignment="1" applyProtection="1">
      <alignment horizontal="center" vertical="center" wrapText="1"/>
    </xf>
    <xf numFmtId="0" fontId="49" fillId="0" borderId="67" xfId="0" applyFont="1" applyFill="1" applyBorder="1" applyAlignment="1" applyProtection="1">
      <alignment horizontal="center" wrapText="1"/>
    </xf>
    <xf numFmtId="0" fontId="49" fillId="0" borderId="82" xfId="0" applyFont="1" applyFill="1" applyBorder="1" applyAlignment="1" applyProtection="1">
      <alignment horizontal="center" wrapText="1"/>
    </xf>
    <xf numFmtId="0" fontId="49" fillId="0" borderId="83" xfId="0" applyFont="1" applyFill="1" applyBorder="1" applyAlignment="1" applyProtection="1">
      <alignment horizontal="center" wrapText="1"/>
    </xf>
    <xf numFmtId="0" fontId="49" fillId="0" borderId="67" xfId="0" applyFont="1" applyBorder="1" applyAlignment="1">
      <alignment horizontal="center" wrapText="1"/>
    </xf>
    <xf numFmtId="0" fontId="49" fillId="0" borderId="82" xfId="0" applyFont="1" applyBorder="1" applyAlignment="1">
      <alignment horizontal="center" wrapText="1"/>
    </xf>
    <xf numFmtId="0" fontId="49" fillId="0" borderId="83" xfId="0" applyFont="1" applyBorder="1" applyAlignment="1">
      <alignment horizontal="center" wrapText="1"/>
    </xf>
    <xf numFmtId="0" fontId="48" fillId="0" borderId="0" xfId="0" applyFont="1" applyFill="1" applyBorder="1" applyAlignment="1" applyProtection="1">
      <alignment horizontal="left"/>
    </xf>
    <xf numFmtId="0" fontId="49" fillId="4" borderId="72" xfId="0" applyFont="1" applyFill="1" applyBorder="1" applyAlignment="1" applyProtection="1">
      <alignment horizontal="center" vertical="center"/>
    </xf>
    <xf numFmtId="0" fontId="49" fillId="4" borderId="13" xfId="0" applyFont="1" applyFill="1" applyBorder="1" applyAlignment="1" applyProtection="1">
      <alignment horizontal="center" vertical="center"/>
    </xf>
    <xf numFmtId="0" fontId="49" fillId="4" borderId="74" xfId="0" applyFont="1" applyFill="1" applyBorder="1" applyAlignment="1" applyProtection="1">
      <alignment horizontal="center" vertical="center"/>
    </xf>
    <xf numFmtId="0" fontId="0" fillId="4" borderId="72" xfId="0" applyFont="1" applyFill="1" applyBorder="1" applyAlignment="1" applyProtection="1">
      <alignment horizontal="center" vertical="center"/>
    </xf>
    <xf numFmtId="0" fontId="0" fillId="4" borderId="74" xfId="0" applyFont="1" applyFill="1" applyBorder="1" applyAlignment="1" applyProtection="1">
      <alignment horizontal="center" vertical="center"/>
    </xf>
    <xf numFmtId="0" fontId="50" fillId="2" borderId="72" xfId="0" applyFont="1" applyFill="1" applyBorder="1" applyAlignment="1" applyProtection="1">
      <alignment horizontal="center" vertical="center" wrapText="1"/>
    </xf>
    <xf numFmtId="0" fontId="50" fillId="2" borderId="87" xfId="0" applyFont="1" applyFill="1" applyBorder="1" applyAlignment="1" applyProtection="1">
      <alignment horizontal="center" vertical="center" wrapText="1"/>
    </xf>
    <xf numFmtId="0" fontId="59" fillId="2" borderId="51" xfId="0" applyFont="1" applyFill="1" applyBorder="1" applyAlignment="1" applyProtection="1">
      <alignment horizontal="center" vertical="center" wrapText="1"/>
    </xf>
    <xf numFmtId="0" fontId="59" fillId="2" borderId="61" xfId="0" applyFont="1" applyFill="1" applyBorder="1" applyAlignment="1" applyProtection="1">
      <alignment horizontal="center" vertical="center" wrapText="1"/>
    </xf>
    <xf numFmtId="0" fontId="59" fillId="2" borderId="88" xfId="0" applyFont="1" applyFill="1" applyBorder="1" applyAlignment="1" applyProtection="1">
      <alignment horizontal="center" vertical="center" wrapText="1"/>
    </xf>
    <xf numFmtId="0" fontId="59" fillId="2" borderId="59" xfId="0" applyFont="1" applyFill="1" applyBorder="1" applyAlignment="1" applyProtection="1">
      <alignment horizontal="center" vertical="center" wrapText="1"/>
    </xf>
    <xf numFmtId="0" fontId="50" fillId="2" borderId="11" xfId="0" applyFont="1" applyFill="1" applyBorder="1" applyAlignment="1" applyProtection="1">
      <alignment horizontal="center" vertical="center" wrapText="1"/>
    </xf>
    <xf numFmtId="0" fontId="10" fillId="0" borderId="67" xfId="0" applyFont="1" applyBorder="1" applyAlignment="1" applyProtection="1">
      <alignment horizontal="center" vertical="center" wrapText="1"/>
    </xf>
    <xf numFmtId="0" fontId="10" fillId="0" borderId="82" xfId="0" applyFont="1" applyBorder="1" applyAlignment="1" applyProtection="1">
      <alignment horizontal="center" vertical="center" wrapText="1"/>
    </xf>
    <xf numFmtId="0" fontId="10" fillId="0" borderId="83" xfId="0" applyFont="1" applyBorder="1" applyAlignment="1" applyProtection="1">
      <alignment horizontal="center" vertical="center" wrapText="1"/>
    </xf>
    <xf numFmtId="0" fontId="10" fillId="7" borderId="67" xfId="0" applyFont="1" applyFill="1" applyBorder="1" applyAlignment="1" applyProtection="1">
      <alignment horizontal="center" vertical="center" wrapText="1"/>
    </xf>
    <xf numFmtId="0" fontId="10" fillId="7" borderId="82" xfId="0" applyFont="1" applyFill="1" applyBorder="1" applyAlignment="1" applyProtection="1">
      <alignment horizontal="center" vertical="center" wrapText="1"/>
    </xf>
    <xf numFmtId="0" fontId="10" fillId="7" borderId="83" xfId="0" applyFont="1" applyFill="1" applyBorder="1" applyAlignment="1" applyProtection="1">
      <alignment horizontal="center" vertical="center" wrapText="1"/>
    </xf>
    <xf numFmtId="0" fontId="10" fillId="23" borderId="67" xfId="0" applyFont="1" applyFill="1" applyBorder="1" applyAlignment="1" applyProtection="1">
      <alignment horizontal="center" vertical="center" wrapText="1"/>
    </xf>
    <xf numFmtId="0" fontId="10" fillId="23" borderId="82" xfId="0" applyFont="1" applyFill="1" applyBorder="1" applyAlignment="1" applyProtection="1">
      <alignment horizontal="center" vertical="center" wrapText="1"/>
    </xf>
    <xf numFmtId="0" fontId="10" fillId="23" borderId="83" xfId="0" applyFont="1" applyFill="1" applyBorder="1" applyAlignment="1" applyProtection="1">
      <alignment horizontal="center" vertical="center" wrapText="1"/>
    </xf>
    <xf numFmtId="0" fontId="10" fillId="4" borderId="67" xfId="0" applyFont="1" applyFill="1" applyBorder="1" applyAlignment="1" applyProtection="1">
      <alignment horizontal="center" vertical="center" wrapText="1"/>
    </xf>
    <xf numFmtId="0" fontId="10" fillId="4" borderId="82" xfId="0" applyFont="1" applyFill="1" applyBorder="1" applyAlignment="1" applyProtection="1">
      <alignment horizontal="center" vertical="center" wrapText="1"/>
    </xf>
    <xf numFmtId="0" fontId="10" fillId="4" borderId="83" xfId="0" applyFont="1" applyFill="1" applyBorder="1" applyAlignment="1" applyProtection="1">
      <alignment horizontal="center" vertical="center" wrapText="1"/>
    </xf>
    <xf numFmtId="0" fontId="11" fillId="13" borderId="88" xfId="0" applyFont="1" applyFill="1" applyBorder="1" applyAlignment="1" applyProtection="1">
      <alignment horizontal="center" vertical="center" wrapText="1"/>
    </xf>
    <xf numFmtId="0" fontId="11" fillId="13" borderId="89" xfId="0" applyFont="1" applyFill="1" applyBorder="1" applyAlignment="1" applyProtection="1">
      <alignment horizontal="center" vertical="center" wrapText="1"/>
    </xf>
    <xf numFmtId="0" fontId="48" fillId="0" borderId="0" xfId="0" applyFont="1" applyFill="1" applyAlignment="1" applyProtection="1">
      <alignment horizontal="left"/>
    </xf>
    <xf numFmtId="0" fontId="55" fillId="0" borderId="0" xfId="0" applyFont="1" applyFill="1" applyAlignment="1" applyProtection="1">
      <alignment horizontal="left"/>
    </xf>
    <xf numFmtId="0" fontId="37" fillId="0" borderId="0" xfId="0" applyFont="1" applyFill="1" applyAlignment="1" applyProtection="1">
      <alignment horizontal="left" vertical="center"/>
    </xf>
    <xf numFmtId="3" fontId="49" fillId="3" borderId="44" xfId="0" applyNumberFormat="1" applyFont="1" applyFill="1" applyBorder="1" applyAlignment="1" applyProtection="1">
      <alignment horizontal="center" vertical="center"/>
    </xf>
    <xf numFmtId="3" fontId="49" fillId="3" borderId="39" xfId="0" applyNumberFormat="1" applyFont="1" applyFill="1" applyBorder="1" applyAlignment="1" applyProtection="1">
      <alignment horizontal="center" vertical="center"/>
    </xf>
    <xf numFmtId="3" fontId="49" fillId="0" borderId="0" xfId="0" applyNumberFormat="1" applyFont="1" applyFill="1" applyBorder="1" applyAlignment="1" applyProtection="1">
      <alignment horizontal="center" vertical="center"/>
    </xf>
    <xf numFmtId="3" fontId="49" fillId="3" borderId="19"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39" xfId="0" applyBorder="1" applyAlignment="1" applyProtection="1">
      <alignment horizontal="center" vertical="center"/>
    </xf>
    <xf numFmtId="166" fontId="49" fillId="3" borderId="44" xfId="0" applyNumberFormat="1" applyFont="1" applyFill="1" applyBorder="1" applyAlignment="1" applyProtection="1">
      <alignment horizontal="center" vertical="center"/>
    </xf>
    <xf numFmtId="166" fontId="0" fillId="0" borderId="39" xfId="0" applyNumberFormat="1" applyBorder="1" applyAlignment="1" applyProtection="1">
      <alignment horizontal="center" vertical="center"/>
    </xf>
    <xf numFmtId="0" fontId="62" fillId="2" borderId="11" xfId="0" applyFont="1" applyFill="1" applyBorder="1" applyAlignment="1" applyProtection="1">
      <alignment horizontal="center" vertical="center" wrapText="1"/>
    </xf>
    <xf numFmtId="0" fontId="62" fillId="2" borderId="2" xfId="0" applyFont="1" applyFill="1" applyBorder="1" applyAlignment="1" applyProtection="1">
      <alignment horizontal="center" vertical="center" wrapText="1"/>
    </xf>
    <xf numFmtId="3" fontId="49" fillId="3" borderId="19" xfId="0" applyNumberFormat="1" applyFont="1" applyFill="1" applyBorder="1" applyAlignment="1" applyProtection="1">
      <alignment horizontal="center" vertical="center" wrapText="1"/>
    </xf>
    <xf numFmtId="0" fontId="0" fillId="0" borderId="25" xfId="0" applyBorder="1" applyAlignment="1" applyProtection="1">
      <alignment horizontal="center" vertical="center" wrapText="1"/>
    </xf>
    <xf numFmtId="0" fontId="55" fillId="0" borderId="0" xfId="0" applyFont="1" applyFill="1" applyBorder="1" applyAlignment="1" applyProtection="1">
      <alignment horizontal="left"/>
    </xf>
    <xf numFmtId="3" fontId="49" fillId="3" borderId="44" xfId="0" applyNumberFormat="1" applyFont="1" applyFill="1" applyBorder="1" applyAlignment="1" applyProtection="1">
      <alignment horizontal="center" vertical="center" wrapText="1"/>
    </xf>
    <xf numFmtId="0" fontId="0" fillId="0" borderId="39" xfId="0" applyBorder="1" applyAlignment="1" applyProtection="1">
      <alignment horizontal="center" vertical="center" wrapText="1"/>
    </xf>
    <xf numFmtId="166" fontId="49" fillId="3" borderId="39" xfId="0" applyNumberFormat="1" applyFont="1" applyFill="1" applyBorder="1" applyAlignment="1" applyProtection="1">
      <alignment horizontal="center" vertical="center"/>
    </xf>
    <xf numFmtId="0" fontId="55" fillId="2" borderId="12" xfId="0" applyFont="1" applyFill="1" applyBorder="1" applyAlignment="1" applyProtection="1">
      <alignment horizontal="center" vertical="center" wrapText="1"/>
    </xf>
    <xf numFmtId="0" fontId="55" fillId="2" borderId="4" xfId="0" applyFont="1" applyFill="1" applyBorder="1" applyAlignment="1" applyProtection="1">
      <alignment horizontal="center" vertical="center" wrapText="1"/>
    </xf>
    <xf numFmtId="3" fontId="49" fillId="3" borderId="25" xfId="0" applyNumberFormat="1" applyFont="1" applyFill="1" applyBorder="1" applyAlignment="1" applyProtection="1">
      <alignment horizontal="center" vertical="center"/>
    </xf>
    <xf numFmtId="0" fontId="49" fillId="4" borderId="11" xfId="0" applyFont="1" applyFill="1" applyBorder="1" applyAlignment="1" applyProtection="1">
      <alignment horizontal="center" vertical="center" wrapText="1"/>
    </xf>
    <xf numFmtId="4" fontId="49" fillId="3" borderId="44" xfId="0" applyNumberFormat="1" applyFont="1" applyFill="1" applyBorder="1" applyAlignment="1" applyProtection="1">
      <alignment horizontal="center" vertical="center" wrapText="1"/>
    </xf>
    <xf numFmtId="0" fontId="62" fillId="4" borderId="11" xfId="0" applyFont="1" applyFill="1" applyBorder="1" applyAlignment="1" applyProtection="1">
      <alignment horizontal="center" vertical="center" wrapText="1"/>
    </xf>
    <xf numFmtId="0" fontId="62" fillId="4" borderId="18" xfId="0" applyFont="1" applyFill="1" applyBorder="1" applyAlignment="1" applyProtection="1">
      <alignment horizontal="center" vertical="center" wrapText="1"/>
    </xf>
    <xf numFmtId="166" fontId="49" fillId="3" borderId="44" xfId="0" applyNumberFormat="1" applyFont="1" applyFill="1" applyBorder="1" applyAlignment="1" applyProtection="1">
      <alignment horizontal="center" vertical="center" wrapText="1"/>
    </xf>
    <xf numFmtId="0" fontId="71" fillId="2" borderId="0" xfId="0" applyFont="1" applyFill="1" applyAlignment="1" applyProtection="1">
      <alignment horizontal="left"/>
    </xf>
    <xf numFmtId="0" fontId="12" fillId="0" borderId="4" xfId="0" applyFont="1" applyBorder="1" applyAlignment="1" applyProtection="1">
      <alignment horizontal="center" vertical="center" textRotation="90" wrapText="1"/>
    </xf>
    <xf numFmtId="0" fontId="0" fillId="0" borderId="4" xfId="0" applyBorder="1" applyAlignment="1" applyProtection="1">
      <alignment horizontal="center" vertical="center" wrapText="1"/>
    </xf>
    <xf numFmtId="0" fontId="0" fillId="0" borderId="20" xfId="0" applyBorder="1" applyAlignment="1" applyProtection="1">
      <alignment horizontal="center" vertical="center" wrapText="1"/>
    </xf>
    <xf numFmtId="0" fontId="23" fillId="0" borderId="0" xfId="0" applyFont="1" applyAlignment="1" applyProtection="1">
      <alignment horizontal="center" vertical="center"/>
    </xf>
    <xf numFmtId="0" fontId="24" fillId="0" borderId="0" xfId="0" applyFont="1" applyAlignment="1" applyProtection="1">
      <alignment horizontal="center" vertical="center"/>
    </xf>
    <xf numFmtId="0" fontId="13" fillId="0" borderId="0" xfId="0" applyFont="1" applyAlignment="1" applyProtection="1">
      <alignment horizontal="center" vertical="center"/>
    </xf>
    <xf numFmtId="0" fontId="11" fillId="3" borderId="12" xfId="0" applyFont="1" applyFill="1" applyBorder="1" applyAlignment="1" applyProtection="1">
      <alignment horizontal="center" vertical="center" wrapText="1"/>
    </xf>
    <xf numFmtId="0" fontId="11" fillId="3" borderId="4" xfId="0" applyFont="1" applyFill="1" applyBorder="1" applyAlignment="1" applyProtection="1">
      <alignment horizontal="center" vertical="center" wrapText="1"/>
    </xf>
    <xf numFmtId="0" fontId="3" fillId="3" borderId="11"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0" fontId="11" fillId="3" borderId="11" xfId="0" applyFont="1" applyFill="1" applyBorder="1" applyAlignment="1" applyProtection="1">
      <alignment horizontal="center" vertical="center" wrapText="1"/>
    </xf>
    <xf numFmtId="0" fontId="11" fillId="3" borderId="2" xfId="0" applyFont="1" applyFill="1" applyBorder="1" applyAlignment="1" applyProtection="1">
      <alignment horizontal="center" vertical="center" wrapText="1"/>
    </xf>
    <xf numFmtId="0" fontId="11" fillId="3" borderId="11" xfId="0" applyFont="1" applyFill="1" applyBorder="1" applyAlignment="1" applyProtection="1">
      <alignment vertical="center" wrapText="1"/>
    </xf>
    <xf numFmtId="0" fontId="65" fillId="0" borderId="11" xfId="0" applyFont="1" applyBorder="1" applyAlignment="1" applyProtection="1">
      <alignment vertical="center" wrapText="1"/>
    </xf>
    <xf numFmtId="0" fontId="65" fillId="0" borderId="18" xfId="0" applyFont="1" applyBorder="1" applyAlignment="1" applyProtection="1">
      <alignment vertical="center" wrapText="1"/>
    </xf>
    <xf numFmtId="0" fontId="11" fillId="3" borderId="5" xfId="0" applyFont="1" applyFill="1" applyBorder="1" applyAlignment="1" applyProtection="1">
      <alignment horizontal="center" vertical="center" wrapText="1"/>
    </xf>
    <xf numFmtId="49" fontId="12" fillId="0" borderId="4" xfId="0" applyNumberFormat="1" applyFont="1" applyBorder="1" applyAlignment="1" applyProtection="1">
      <alignment horizontal="center" vertical="center" textRotation="90" wrapText="1"/>
    </xf>
    <xf numFmtId="0" fontId="47" fillId="0" borderId="0" xfId="0" applyFont="1" applyAlignment="1" applyProtection="1">
      <alignment horizontal="left" vertical="center" wrapText="1"/>
    </xf>
    <xf numFmtId="0" fontId="3" fillId="2" borderId="42" xfId="4" applyFont="1" applyFill="1" applyBorder="1" applyAlignment="1" applyProtection="1">
      <alignment horizontal="left" vertical="center" wrapText="1"/>
      <protection locked="0"/>
    </xf>
    <xf numFmtId="0" fontId="3" fillId="2" borderId="85" xfId="4" applyFont="1" applyFill="1" applyBorder="1" applyAlignment="1" applyProtection="1">
      <alignment horizontal="left" vertical="center" wrapText="1"/>
      <protection locked="0"/>
    </xf>
    <xf numFmtId="0" fontId="3" fillId="2" borderId="55" xfId="4" applyFont="1" applyFill="1" applyBorder="1" applyAlignment="1" applyProtection="1">
      <alignment horizontal="left" vertical="center" wrapText="1"/>
      <protection locked="0"/>
    </xf>
    <xf numFmtId="0" fontId="10" fillId="10" borderId="11" xfId="4" applyFont="1" applyFill="1" applyBorder="1" applyAlignment="1">
      <alignment horizontal="center" vertical="center"/>
    </xf>
    <xf numFmtId="0" fontId="17" fillId="10" borderId="2" xfId="4" applyFont="1" applyFill="1" applyBorder="1" applyAlignment="1">
      <alignment horizontal="center" vertical="center"/>
    </xf>
    <xf numFmtId="0" fontId="10" fillId="10" borderId="12" xfId="4" applyFont="1" applyFill="1" applyBorder="1" applyAlignment="1">
      <alignment horizontal="center" vertical="center"/>
    </xf>
    <xf numFmtId="0" fontId="17" fillId="10" borderId="4" xfId="4" applyFont="1" applyFill="1" applyBorder="1" applyAlignment="1">
      <alignment horizontal="center" vertical="center"/>
    </xf>
    <xf numFmtId="0" fontId="10" fillId="10" borderId="2" xfId="4" applyFont="1" applyFill="1" applyBorder="1" applyAlignment="1">
      <alignment horizontal="center" vertical="center"/>
    </xf>
    <xf numFmtId="0" fontId="34" fillId="0" borderId="0" xfId="4" applyFont="1" applyAlignment="1">
      <alignment horizontal="center" vertical="center" wrapText="1"/>
    </xf>
    <xf numFmtId="0" fontId="13" fillId="0" borderId="0" xfId="4" applyAlignment="1">
      <alignment horizontal="center" vertical="center" wrapText="1"/>
    </xf>
    <xf numFmtId="0" fontId="11" fillId="10" borderId="53" xfId="4" applyFont="1" applyFill="1" applyBorder="1" applyAlignment="1" applyProtection="1">
      <alignment horizontal="center" vertical="center" wrapText="1"/>
    </xf>
    <xf numFmtId="0" fontId="11" fillId="10" borderId="73" xfId="4" applyFont="1" applyFill="1" applyBorder="1" applyAlignment="1" applyProtection="1">
      <alignment horizontal="center" vertical="center" wrapText="1"/>
    </xf>
    <xf numFmtId="0" fontId="3" fillId="10" borderId="54" xfId="4" applyFont="1" applyFill="1" applyBorder="1" applyAlignment="1">
      <alignment horizontal="center" vertical="center" wrapText="1"/>
    </xf>
    <xf numFmtId="0" fontId="3" fillId="10" borderId="18" xfId="4" applyFont="1" applyFill="1" applyBorder="1" applyAlignment="1">
      <alignment horizontal="center" vertical="center" wrapText="1"/>
    </xf>
    <xf numFmtId="0" fontId="3" fillId="10" borderId="5" xfId="4" applyFont="1" applyFill="1" applyBorder="1" applyAlignment="1">
      <alignment horizontal="center" vertical="center" wrapText="1"/>
    </xf>
    <xf numFmtId="0" fontId="10" fillId="10" borderId="53" xfId="4" applyFont="1" applyFill="1" applyBorder="1" applyAlignment="1">
      <alignment horizontal="center" vertical="center" wrapText="1"/>
    </xf>
    <xf numFmtId="0" fontId="0" fillId="0" borderId="54" xfId="0" applyBorder="1" applyAlignment="1">
      <alignment horizontal="center" vertical="center" wrapText="1"/>
    </xf>
    <xf numFmtId="0" fontId="0" fillId="0" borderId="0" xfId="0" applyFont="1" applyAlignment="1">
      <alignment vertical="center" wrapText="1"/>
    </xf>
    <xf numFmtId="0" fontId="48" fillId="0" borderId="0" xfId="0" applyFont="1" applyAlignment="1" applyProtection="1">
      <alignment horizontal="center" vertical="center" wrapText="1"/>
    </xf>
    <xf numFmtId="0" fontId="67" fillId="0" borderId="0" xfId="0" applyFont="1" applyAlignment="1" applyProtection="1">
      <alignment horizontal="center" vertical="center" wrapText="1"/>
    </xf>
    <xf numFmtId="0" fontId="72" fillId="0" borderId="0" xfId="0" applyFont="1" applyAlignment="1" applyProtection="1">
      <alignment horizontal="center" vertical="center" wrapText="1"/>
    </xf>
  </cellXfs>
  <cellStyles count="10">
    <cellStyle name="Hipervínculo" xfId="1" builtinId="8"/>
    <cellStyle name="Hipervínculo 2" xfId="2"/>
    <cellStyle name="Moneda" xfId="3" builtinId="4"/>
    <cellStyle name="Normal" xfId="0" builtinId="0"/>
    <cellStyle name="Normal 2" xfId="4"/>
    <cellStyle name="Normal 3" xfId="5"/>
    <cellStyle name="Normal_PAO 2011 14dic" xfId="6"/>
    <cellStyle name="Porcentaje" xfId="7" builtinId="5"/>
    <cellStyle name="Porcentual 2" xfId="8"/>
    <cellStyle name="Porcentual 3"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0</xdr:col>
      <xdr:colOff>838200</xdr:colOff>
      <xdr:row>3</xdr:row>
      <xdr:rowOff>152400</xdr:rowOff>
    </xdr:to>
    <xdr:pic>
      <xdr:nvPicPr>
        <xdr:cNvPr id="11655" name="Picture 1" descr="escudoes"/>
        <xdr:cNvPicPr>
          <a:picLocks noChangeAspect="1" noChangeArrowheads="1"/>
        </xdr:cNvPicPr>
      </xdr:nvPicPr>
      <xdr:blipFill>
        <a:blip xmlns:r="http://schemas.openxmlformats.org/officeDocument/2006/relationships" r:embed="rId1" cstate="print">
          <a:clrChange>
            <a:clrFrom>
              <a:srgbClr val="FEFEFE"/>
            </a:clrFrom>
            <a:clrTo>
              <a:srgbClr val="FEFEFE">
                <a:alpha val="0"/>
              </a:srgbClr>
            </a:clrTo>
          </a:clrChange>
        </a:blip>
        <a:srcRect/>
        <a:stretch>
          <a:fillRect/>
        </a:stretch>
      </xdr:blipFill>
      <xdr:spPr bwMode="auto">
        <a:xfrm>
          <a:off x="19050" y="19050"/>
          <a:ext cx="819150" cy="819150"/>
        </a:xfrm>
        <a:prstGeom prst="rect">
          <a:avLst/>
        </a:prstGeom>
        <a:noFill/>
        <a:ln w="9525">
          <a:noFill/>
          <a:miter lim="800000"/>
          <a:headEnd/>
          <a:tailEnd/>
        </a:ln>
      </xdr:spPr>
    </xdr:pic>
    <xdr:clientData/>
  </xdr:twoCellAnchor>
  <xdr:twoCellAnchor editAs="oneCell">
    <xdr:from>
      <xdr:col>6</xdr:col>
      <xdr:colOff>85725</xdr:colOff>
      <xdr:row>0</xdr:row>
      <xdr:rowOff>47625</xdr:rowOff>
    </xdr:from>
    <xdr:to>
      <xdr:col>7</xdr:col>
      <xdr:colOff>685800</xdr:colOff>
      <xdr:row>3</xdr:row>
      <xdr:rowOff>114300</xdr:rowOff>
    </xdr:to>
    <xdr:pic>
      <xdr:nvPicPr>
        <xdr:cNvPr id="11656" name="Picture 2" descr="logo_mspas_2009"/>
        <xdr:cNvPicPr>
          <a:picLocks noChangeAspect="1" noChangeArrowheads="1"/>
        </xdr:cNvPicPr>
      </xdr:nvPicPr>
      <xdr:blipFill>
        <a:blip xmlns:r="http://schemas.openxmlformats.org/officeDocument/2006/relationships" r:embed="rId2" cstate="print"/>
        <a:srcRect/>
        <a:stretch>
          <a:fillRect/>
        </a:stretch>
      </xdr:blipFill>
      <xdr:spPr bwMode="auto">
        <a:xfrm>
          <a:off x="7439025" y="47625"/>
          <a:ext cx="981075" cy="7524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milinares\Mis%20documentos\A-MSPAS_2009\P-M&amp;E\PLANIF-PRESUP\PAO_Hospitales2010\Planes\PAO%20Zacami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ctividades%202011\PAO2011\PAOH_2011\ACTUALIZADOS\PAO%20Zacami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 General"/>
      <sheetName val="2 Atenciones CapCIE 10-08"/>
      <sheetName val="3 Diez Primeras Causas 08"/>
      <sheetName val="4 Comportamiento Produccion"/>
      <sheetName val="5 Produccion Desagregada 08 "/>
      <sheetName val="6 Prod Scios Intermedios 08"/>
      <sheetName val="7 Prod Scios Grales 08"/>
      <sheetName val="8 Inform. Camas Quiróf Cons"/>
      <sheetName val="9 Inform. Gral RRHH"/>
      <sheetName val="10 Distribucion RRHH"/>
      <sheetName val="11 Inform. Gral Presupuesto"/>
      <sheetName val="12. Ind. Gestion Scios"/>
      <sheetName val="13. Normas Programación"/>
      <sheetName val="14 Produc Rendim Cons Cgia"/>
      <sheetName val="15 Produc Rend Hospit 09"/>
      <sheetName val="16. Produc Rend Scio MD 09"/>
      <sheetName val="17. ProgramacionProduccion 2010"/>
      <sheetName val="18 ProgramacionScios Intermedio"/>
      <sheetName val="19 Programacion Scios Grales"/>
      <sheetName val="20 Programacion Gestion Scios"/>
      <sheetName val="21 Ind. Gestion Sci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2">
          <cell r="C12">
            <v>12</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 General"/>
      <sheetName val="2 Atenciones CapCIE 10-08"/>
      <sheetName val="3 Diez Primeras Causas 08"/>
      <sheetName val="4 Comportamiento Produccion"/>
      <sheetName val="5 Produccion Desagregada 08 "/>
      <sheetName val="6 Prod Scios Intermedios 08"/>
      <sheetName val="7 Prod Scios Grales 08"/>
      <sheetName val="8 Inform. Camas Quiróf Cons"/>
      <sheetName val="9 Inform. Gral RRHH"/>
      <sheetName val="10 Distribucion RRHH"/>
      <sheetName val="11 Inform. Gral Presupuesto"/>
      <sheetName val="12. Ind. Gestion Scios"/>
      <sheetName val="13. Normas Programación"/>
      <sheetName val="14 Produc Rendim Cons Cgia"/>
      <sheetName val="15 Produc Rend Hospit 09"/>
      <sheetName val="16. Produc Rend Scio MD 09"/>
      <sheetName val="17. ProgramacionProduccion 2010"/>
      <sheetName val="18 ProgramacionScios Intermedio"/>
      <sheetName val="19 Programacion Scios Grales"/>
      <sheetName val="20 Programacion Gestion Scios"/>
      <sheetName val="21 Ind. Gestion Scios"/>
    </sheetNames>
    <sheetDataSet>
      <sheetData sheetId="0">
        <row r="5">
          <cell r="B5" t="str">
            <v>3215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0"/>
  <sheetViews>
    <sheetView showGridLines="0" tabSelected="1" view="pageBreakPreview" zoomScaleNormal="75" zoomScaleSheetLayoutView="100" workbookViewId="0">
      <selection activeCell="A7" sqref="A7"/>
    </sheetView>
  </sheetViews>
  <sheetFormatPr baseColWidth="10" defaultRowHeight="15" customHeight="1" x14ac:dyDescent="0.25"/>
  <cols>
    <col min="1" max="1" width="43.42578125" style="41" customWidth="1"/>
    <col min="2" max="2" width="4" style="41" customWidth="1"/>
    <col min="3" max="6" width="15.7109375" style="41" customWidth="1"/>
    <col min="7" max="7" width="5.7109375" style="41" customWidth="1"/>
    <col min="8" max="8" width="10.85546875" style="41" customWidth="1"/>
    <col min="9" max="16384" width="11.42578125" style="41"/>
  </cols>
  <sheetData>
    <row r="1" spans="1:9" ht="18" customHeight="1" x14ac:dyDescent="0.25">
      <c r="A1" s="1107" t="s">
        <v>674</v>
      </c>
      <c r="B1" s="1107"/>
      <c r="C1" s="1107"/>
      <c r="D1" s="1107"/>
      <c r="E1" s="1107"/>
      <c r="F1" s="1107"/>
      <c r="G1" s="1107"/>
      <c r="H1" s="1107"/>
    </row>
    <row r="2" spans="1:9" ht="18" customHeight="1" x14ac:dyDescent="0.25">
      <c r="A2" s="1108" t="s">
        <v>405</v>
      </c>
      <c r="B2" s="1108"/>
      <c r="C2" s="1108"/>
      <c r="D2" s="1108"/>
      <c r="E2" s="1108"/>
      <c r="F2" s="1108"/>
      <c r="G2" s="1108"/>
      <c r="H2" s="1108"/>
    </row>
    <row r="3" spans="1:9" ht="18" customHeight="1" x14ac:dyDescent="0.2">
      <c r="A3" s="1109" t="s">
        <v>406</v>
      </c>
      <c r="B3" s="1109"/>
      <c r="C3" s="1109"/>
      <c r="D3" s="1109"/>
      <c r="E3" s="1109"/>
      <c r="F3" s="1109"/>
      <c r="G3" s="1109"/>
      <c r="H3" s="1109"/>
      <c r="I3" s="42"/>
    </row>
    <row r="4" spans="1:9" ht="18" customHeight="1" x14ac:dyDescent="0.2">
      <c r="A4" s="1109" t="s">
        <v>407</v>
      </c>
      <c r="B4" s="1109"/>
      <c r="C4" s="1109"/>
      <c r="D4" s="1109"/>
      <c r="E4" s="1109"/>
      <c r="F4" s="1109"/>
      <c r="G4" s="1109"/>
      <c r="H4" s="1109"/>
      <c r="I4" s="42"/>
    </row>
    <row r="5" spans="1:9" ht="24.75" customHeight="1" x14ac:dyDescent="0.25">
      <c r="A5" s="1110" t="s">
        <v>686</v>
      </c>
      <c r="B5" s="1110"/>
      <c r="C5" s="1110"/>
      <c r="D5" s="1110"/>
      <c r="E5" s="1110"/>
      <c r="F5" s="1110"/>
      <c r="G5" s="1110"/>
      <c r="H5" s="1110"/>
    </row>
    <row r="6" spans="1:9" ht="9.9499999999999993" customHeight="1" thickBot="1" x14ac:dyDescent="0.3">
      <c r="A6" s="43"/>
      <c r="B6" s="43"/>
      <c r="C6" s="43"/>
      <c r="D6" s="43"/>
      <c r="E6" s="43"/>
      <c r="F6" s="43"/>
      <c r="G6" s="43"/>
      <c r="H6" s="43"/>
    </row>
    <row r="7" spans="1:9" ht="20.100000000000001" customHeight="1" thickBot="1" x14ac:dyDescent="0.3">
      <c r="A7" s="44" t="s">
        <v>408</v>
      </c>
      <c r="B7" s="45"/>
      <c r="C7" s="1097" t="s">
        <v>785</v>
      </c>
      <c r="D7" s="1105"/>
      <c r="E7" s="1105"/>
      <c r="F7" s="1105"/>
      <c r="G7" s="1105"/>
      <c r="H7" s="1106"/>
    </row>
    <row r="8" spans="1:9" ht="4.5" customHeight="1" thickBot="1" x14ac:dyDescent="0.3">
      <c r="A8" s="46"/>
      <c r="B8" s="46"/>
      <c r="C8" s="47"/>
      <c r="D8" s="47"/>
      <c r="E8" s="47"/>
      <c r="F8" s="47"/>
      <c r="G8" s="47"/>
      <c r="H8" s="47"/>
      <c r="I8" s="47"/>
    </row>
    <row r="9" spans="1:9" ht="19.5" customHeight="1" thickBot="1" x14ac:dyDescent="0.3">
      <c r="A9" s="44" t="s">
        <v>409</v>
      </c>
      <c r="B9" s="45"/>
      <c r="C9" s="1097" t="s">
        <v>787</v>
      </c>
      <c r="D9" s="1105"/>
      <c r="E9" s="1105"/>
      <c r="F9" s="1105"/>
      <c r="G9" s="1105"/>
      <c r="H9" s="1106"/>
      <c r="I9" s="47"/>
    </row>
    <row r="10" spans="1:9" ht="4.5" customHeight="1" thickBot="1" x14ac:dyDescent="0.3">
      <c r="A10" s="46"/>
      <c r="B10" s="46"/>
      <c r="C10" s="47"/>
      <c r="D10" s="47"/>
      <c r="E10" s="47"/>
      <c r="F10" s="47"/>
      <c r="G10" s="47"/>
      <c r="H10" s="47"/>
      <c r="I10" s="47"/>
    </row>
    <row r="11" spans="1:9" ht="20.100000000000001" customHeight="1" thickBot="1" x14ac:dyDescent="0.3">
      <c r="A11" s="44" t="s">
        <v>410</v>
      </c>
      <c r="B11" s="48"/>
      <c r="C11" s="1097" t="s">
        <v>788</v>
      </c>
      <c r="D11" s="1105"/>
      <c r="E11" s="1105"/>
      <c r="F11" s="1105"/>
      <c r="G11" s="1105"/>
      <c r="H11" s="1106"/>
    </row>
    <row r="12" spans="1:9" ht="4.5" customHeight="1" thickBot="1" x14ac:dyDescent="0.3">
      <c r="A12" s="46"/>
      <c r="B12" s="46"/>
      <c r="C12" s="47"/>
      <c r="D12" s="47"/>
      <c r="E12" s="47"/>
      <c r="F12" s="47"/>
      <c r="G12" s="47"/>
      <c r="H12" s="47"/>
      <c r="I12" s="47"/>
    </row>
    <row r="13" spans="1:9" ht="20.100000000000001" customHeight="1" thickBot="1" x14ac:dyDescent="0.3">
      <c r="A13" s="44" t="s">
        <v>411</v>
      </c>
      <c r="B13" s="45"/>
      <c r="C13" s="1097" t="s">
        <v>789</v>
      </c>
      <c r="D13" s="1105"/>
      <c r="E13" s="1105"/>
      <c r="F13" s="1106"/>
      <c r="G13" s="47"/>
      <c r="H13" s="47"/>
      <c r="I13" s="47"/>
    </row>
    <row r="14" spans="1:9" ht="4.5" customHeight="1" thickBot="1" x14ac:dyDescent="0.3">
      <c r="A14" s="47"/>
      <c r="B14" s="47"/>
      <c r="C14" s="47"/>
      <c r="D14" s="47"/>
      <c r="E14" s="47"/>
      <c r="F14" s="47"/>
      <c r="G14" s="47"/>
      <c r="H14" s="47"/>
      <c r="I14" s="47"/>
    </row>
    <row r="15" spans="1:9" ht="20.100000000000001" customHeight="1" thickBot="1" x14ac:dyDescent="0.3">
      <c r="A15" s="44" t="s">
        <v>582</v>
      </c>
      <c r="B15" s="45"/>
      <c r="C15" s="1104" t="s">
        <v>790</v>
      </c>
      <c r="D15" s="1101"/>
      <c r="E15" s="1101"/>
      <c r="F15" s="1102"/>
      <c r="G15" s="49"/>
      <c r="H15" s="49"/>
      <c r="I15" s="47"/>
    </row>
    <row r="16" spans="1:9" ht="4.5" customHeight="1" thickBot="1" x14ac:dyDescent="0.3">
      <c r="A16" s="45"/>
      <c r="B16" s="45"/>
      <c r="C16" s="45"/>
      <c r="D16" s="45"/>
      <c r="E16" s="45"/>
      <c r="F16" s="45"/>
      <c r="G16" s="45"/>
      <c r="H16" s="45"/>
      <c r="I16" s="47"/>
    </row>
    <row r="17" spans="1:9" ht="20.100000000000001" customHeight="1" thickBot="1" x14ac:dyDescent="0.3">
      <c r="A17" s="44" t="s">
        <v>412</v>
      </c>
      <c r="B17" s="45"/>
      <c r="C17" s="1097" t="s">
        <v>791</v>
      </c>
      <c r="D17" s="1101"/>
      <c r="E17" s="1101"/>
      <c r="F17" s="1102"/>
      <c r="G17" s="49"/>
      <c r="H17" s="49"/>
    </row>
    <row r="18" spans="1:9" ht="4.5" customHeight="1" thickBot="1" x14ac:dyDescent="0.3">
      <c r="A18" s="46"/>
      <c r="B18" s="46"/>
      <c r="C18" s="47"/>
      <c r="D18" s="47"/>
      <c r="E18" s="47"/>
      <c r="F18" s="47"/>
      <c r="G18" s="47"/>
      <c r="H18" s="47"/>
      <c r="I18" s="47"/>
    </row>
    <row r="19" spans="1:9" ht="23.25" customHeight="1" thickBot="1" x14ac:dyDescent="0.3">
      <c r="A19" s="44" t="s">
        <v>413</v>
      </c>
      <c r="B19" s="45"/>
      <c r="C19" s="50">
        <v>40620</v>
      </c>
      <c r="D19" s="51" t="s">
        <v>414</v>
      </c>
      <c r="E19" s="51"/>
      <c r="F19" s="52"/>
      <c r="I19" s="47"/>
    </row>
    <row r="20" spans="1:9" ht="9.9499999999999993" customHeight="1" x14ac:dyDescent="0.25">
      <c r="A20" s="46"/>
      <c r="B20" s="46"/>
      <c r="C20" s="47"/>
      <c r="D20" s="47"/>
      <c r="E20" s="47"/>
      <c r="F20" s="47"/>
      <c r="G20" s="47"/>
      <c r="H20" s="47"/>
      <c r="I20" s="47"/>
    </row>
    <row r="21" spans="1:9" ht="21" customHeight="1" thickBot="1" x14ac:dyDescent="0.3">
      <c r="A21" s="45"/>
      <c r="B21" s="45"/>
      <c r="C21" s="1103" t="s">
        <v>415</v>
      </c>
      <c r="D21" s="1103"/>
      <c r="E21" s="1103"/>
      <c r="F21" s="1103"/>
      <c r="G21" s="53"/>
      <c r="H21" s="53" t="s">
        <v>416</v>
      </c>
    </row>
    <row r="22" spans="1:9" ht="30" customHeight="1" thickBot="1" x14ac:dyDescent="0.3">
      <c r="A22" s="1100" t="s">
        <v>583</v>
      </c>
      <c r="B22" s="43">
        <v>1</v>
      </c>
      <c r="C22" s="1097" t="s">
        <v>786</v>
      </c>
      <c r="D22" s="1098"/>
      <c r="E22" s="1098"/>
      <c r="F22" s="1099"/>
      <c r="G22" s="53"/>
      <c r="H22" s="55">
        <v>1</v>
      </c>
      <c r="I22" s="47"/>
    </row>
    <row r="23" spans="1:9" ht="4.5" customHeight="1" thickBot="1" x14ac:dyDescent="0.3">
      <c r="A23" s="1100"/>
      <c r="B23" s="56"/>
      <c r="C23" s="43"/>
      <c r="D23" s="43"/>
      <c r="E23" s="43"/>
      <c r="F23" s="43"/>
      <c r="G23" s="53"/>
      <c r="H23" s="57"/>
      <c r="I23" s="47"/>
    </row>
    <row r="24" spans="1:9" ht="30" customHeight="1" thickBot="1" x14ac:dyDescent="0.3">
      <c r="A24" s="1100"/>
      <c r="B24" s="43">
        <v>2</v>
      </c>
      <c r="C24" s="1097" t="s">
        <v>792</v>
      </c>
      <c r="D24" s="1098"/>
      <c r="E24" s="1098"/>
      <c r="F24" s="1099"/>
      <c r="G24" s="53"/>
      <c r="H24" s="55">
        <v>32</v>
      </c>
      <c r="I24" s="47"/>
    </row>
    <row r="25" spans="1:9" ht="4.5" customHeight="1" thickBot="1" x14ac:dyDescent="0.3">
      <c r="A25" s="1100"/>
      <c r="B25" s="56"/>
      <c r="C25" s="43"/>
      <c r="D25" s="43"/>
      <c r="E25" s="43"/>
      <c r="F25" s="43"/>
      <c r="G25" s="53"/>
      <c r="H25" s="57"/>
      <c r="I25" s="47"/>
    </row>
    <row r="26" spans="1:9" ht="30" customHeight="1" thickBot="1" x14ac:dyDescent="0.3">
      <c r="A26" s="1100"/>
      <c r="B26" s="43">
        <v>3</v>
      </c>
      <c r="C26" s="1097" t="s">
        <v>793</v>
      </c>
      <c r="D26" s="1098"/>
      <c r="E26" s="1098"/>
      <c r="F26" s="1099"/>
      <c r="G26" s="53"/>
      <c r="H26" s="55">
        <v>2</v>
      </c>
      <c r="I26" s="47"/>
    </row>
    <row r="27" spans="1:9" ht="4.5" customHeight="1" thickBot="1" x14ac:dyDescent="0.3">
      <c r="A27" s="54"/>
      <c r="B27" s="56"/>
      <c r="C27" s="58"/>
      <c r="D27" s="58"/>
      <c r="E27" s="58"/>
      <c r="F27" s="58"/>
      <c r="G27" s="59"/>
      <c r="H27" s="57"/>
      <c r="I27" s="47"/>
    </row>
    <row r="28" spans="1:9" ht="30" customHeight="1" thickBot="1" x14ac:dyDescent="0.3">
      <c r="A28" s="60" t="s">
        <v>672</v>
      </c>
      <c r="B28" s="43">
        <v>4</v>
      </c>
      <c r="C28" s="1097" t="s">
        <v>794</v>
      </c>
      <c r="D28" s="1098"/>
      <c r="E28" s="1098"/>
      <c r="F28" s="1099"/>
      <c r="G28" s="53"/>
      <c r="H28" s="55">
        <v>9</v>
      </c>
      <c r="I28" s="47"/>
    </row>
    <row r="29" spans="1:9" ht="4.5" customHeight="1" thickBot="1" x14ac:dyDescent="0.3">
      <c r="A29" s="54"/>
      <c r="B29" s="56"/>
      <c r="C29" s="58"/>
      <c r="D29" s="58"/>
      <c r="E29" s="58"/>
      <c r="F29" s="58"/>
      <c r="G29" s="53"/>
      <c r="H29" s="57"/>
      <c r="I29" s="47"/>
    </row>
    <row r="30" spans="1:9" ht="30" customHeight="1" thickBot="1" x14ac:dyDescent="0.3">
      <c r="B30" s="43">
        <v>5</v>
      </c>
      <c r="C30" s="1097" t="s">
        <v>795</v>
      </c>
      <c r="D30" s="1098"/>
      <c r="E30" s="1098"/>
      <c r="F30" s="1099"/>
      <c r="G30" s="53"/>
      <c r="H30" s="55">
        <v>4</v>
      </c>
      <c r="I30" s="47"/>
    </row>
    <row r="31" spans="1:9" ht="4.5" customHeight="1" thickBot="1" x14ac:dyDescent="0.3">
      <c r="A31" s="54"/>
      <c r="B31" s="56"/>
      <c r="C31" s="58"/>
      <c r="D31" s="58"/>
      <c r="E31" s="58"/>
      <c r="F31" s="58"/>
      <c r="G31" s="59"/>
      <c r="H31" s="57"/>
      <c r="I31" s="47"/>
    </row>
    <row r="32" spans="1:9" ht="30" customHeight="1" thickBot="1" x14ac:dyDescent="0.3">
      <c r="B32" s="43">
        <v>6</v>
      </c>
      <c r="C32" s="1097" t="s">
        <v>42</v>
      </c>
      <c r="D32" s="1098"/>
      <c r="E32" s="1098"/>
      <c r="F32" s="1099"/>
      <c r="G32" s="53"/>
      <c r="H32" s="55">
        <v>8</v>
      </c>
      <c r="I32" s="47"/>
    </row>
    <row r="33" spans="1:9" ht="4.5" customHeight="1" thickBot="1" x14ac:dyDescent="0.3">
      <c r="A33" s="54"/>
      <c r="B33" s="56"/>
      <c r="C33" s="58"/>
      <c r="D33" s="58"/>
      <c r="E33" s="58"/>
      <c r="F33" s="58"/>
      <c r="G33" s="47"/>
      <c r="H33" s="57"/>
    </row>
    <row r="34" spans="1:9" ht="30" customHeight="1" thickBot="1" x14ac:dyDescent="0.3">
      <c r="A34" s="60" t="s">
        <v>673</v>
      </c>
      <c r="B34" s="43">
        <v>7</v>
      </c>
      <c r="C34" s="1097" t="s">
        <v>190</v>
      </c>
      <c r="D34" s="1098"/>
      <c r="E34" s="1098"/>
      <c r="F34" s="1099"/>
      <c r="G34" s="47"/>
      <c r="H34" s="55">
        <v>6</v>
      </c>
    </row>
    <row r="35" spans="1:9" ht="4.5" customHeight="1" thickBot="1" x14ac:dyDescent="0.3">
      <c r="A35" s="54"/>
      <c r="B35" s="56"/>
      <c r="C35" s="58"/>
      <c r="D35" s="58"/>
      <c r="E35" s="58"/>
      <c r="F35" s="58"/>
      <c r="G35" s="47"/>
      <c r="H35" s="57"/>
    </row>
    <row r="36" spans="1:9" ht="30" customHeight="1" thickBot="1" x14ac:dyDescent="0.3">
      <c r="A36" s="54"/>
      <c r="B36" s="43">
        <v>8</v>
      </c>
      <c r="C36" s="1097" t="s">
        <v>796</v>
      </c>
      <c r="D36" s="1098"/>
      <c r="E36" s="1098"/>
      <c r="F36" s="1099"/>
      <c r="G36" s="47"/>
      <c r="H36" s="55">
        <v>14</v>
      </c>
    </row>
    <row r="37" spans="1:9" ht="4.5" customHeight="1" thickBot="1" x14ac:dyDescent="0.3"/>
    <row r="38" spans="1:9" ht="30" customHeight="1" thickBot="1" x14ac:dyDescent="0.3">
      <c r="B38" s="43">
        <v>9</v>
      </c>
      <c r="C38" s="1097" t="s">
        <v>797</v>
      </c>
      <c r="D38" s="1098"/>
      <c r="E38" s="1098"/>
      <c r="F38" s="1099"/>
      <c r="G38" s="53"/>
      <c r="H38" s="55">
        <v>12</v>
      </c>
      <c r="I38" s="47"/>
    </row>
    <row r="39" spans="1:9" ht="4.5" customHeight="1" thickBot="1" x14ac:dyDescent="0.3">
      <c r="A39" s="61"/>
      <c r="B39" s="56"/>
      <c r="C39" s="43"/>
      <c r="D39" s="43"/>
      <c r="E39" s="43"/>
      <c r="F39" s="43"/>
      <c r="G39" s="53"/>
      <c r="H39" s="57"/>
      <c r="I39" s="47"/>
    </row>
    <row r="40" spans="1:9" ht="30" customHeight="1" thickBot="1" x14ac:dyDescent="0.3">
      <c r="B40" s="43">
        <v>10</v>
      </c>
      <c r="C40" s="1097" t="s">
        <v>95</v>
      </c>
      <c r="D40" s="1098"/>
      <c r="E40" s="1098"/>
      <c r="F40" s="1099"/>
      <c r="G40" s="53"/>
      <c r="H40" s="55">
        <v>11</v>
      </c>
      <c r="I40" s="47"/>
    </row>
    <row r="41" spans="1:9" ht="4.5" customHeight="1" thickBot="1" x14ac:dyDescent="0.3">
      <c r="A41" s="54"/>
      <c r="B41" s="56"/>
      <c r="C41" s="58"/>
      <c r="D41" s="58"/>
      <c r="E41" s="58"/>
      <c r="F41" s="58"/>
      <c r="G41" s="59"/>
      <c r="H41" s="57"/>
      <c r="I41" s="47"/>
    </row>
    <row r="42" spans="1:9" ht="30" customHeight="1" thickBot="1" x14ac:dyDescent="0.3">
      <c r="A42" s="60"/>
      <c r="B42" s="43">
        <v>11</v>
      </c>
      <c r="C42" s="1097" t="s">
        <v>302</v>
      </c>
      <c r="D42" s="1098"/>
      <c r="E42" s="1098"/>
      <c r="F42" s="1099"/>
      <c r="G42" s="53"/>
      <c r="H42" s="55">
        <v>11</v>
      </c>
      <c r="I42" s="47"/>
    </row>
    <row r="43" spans="1:9" ht="4.5" customHeight="1" thickBot="1" x14ac:dyDescent="0.3">
      <c r="A43" s="54"/>
      <c r="B43" s="56"/>
      <c r="C43" s="58"/>
      <c r="D43" s="58"/>
      <c r="E43" s="58"/>
      <c r="F43" s="58"/>
      <c r="G43" s="53"/>
      <c r="H43" s="57"/>
      <c r="I43" s="47"/>
    </row>
    <row r="44" spans="1:9" ht="30" customHeight="1" thickBot="1" x14ac:dyDescent="0.3">
      <c r="B44" s="43">
        <v>12</v>
      </c>
      <c r="C44" s="1097" t="s">
        <v>798</v>
      </c>
      <c r="D44" s="1098"/>
      <c r="E44" s="1098"/>
      <c r="F44" s="1099"/>
      <c r="G44" s="53"/>
      <c r="H44" s="55">
        <v>12</v>
      </c>
      <c r="I44" s="47"/>
    </row>
    <row r="45" spans="1:9" ht="4.5" customHeight="1" thickBot="1" x14ac:dyDescent="0.3">
      <c r="A45" s="54"/>
      <c r="B45" s="56"/>
      <c r="C45" s="58"/>
      <c r="D45" s="58"/>
      <c r="E45" s="58"/>
      <c r="F45" s="58"/>
      <c r="G45" s="59"/>
      <c r="H45" s="57"/>
      <c r="I45" s="47"/>
    </row>
    <row r="46" spans="1:9" ht="30" customHeight="1" thickBot="1" x14ac:dyDescent="0.3">
      <c r="B46" s="43">
        <v>13</v>
      </c>
      <c r="C46" s="1097" t="s">
        <v>799</v>
      </c>
      <c r="D46" s="1098"/>
      <c r="E46" s="1098"/>
      <c r="F46" s="1099"/>
      <c r="G46" s="53"/>
      <c r="H46" s="55">
        <v>5</v>
      </c>
      <c r="I46" s="47"/>
    </row>
    <row r="47" spans="1:9" ht="4.5" customHeight="1" thickBot="1" x14ac:dyDescent="0.3">
      <c r="A47" s="54"/>
      <c r="B47" s="56"/>
      <c r="C47" s="58"/>
      <c r="D47" s="58"/>
      <c r="E47" s="58"/>
      <c r="F47" s="58"/>
      <c r="G47" s="47"/>
      <c r="H47" s="57"/>
    </row>
    <row r="48" spans="1:9" ht="30" customHeight="1" thickBot="1" x14ac:dyDescent="0.3">
      <c r="A48" s="60"/>
      <c r="B48" s="43">
        <v>14</v>
      </c>
      <c r="C48" s="1097" t="s">
        <v>80</v>
      </c>
      <c r="D48" s="1098"/>
      <c r="E48" s="1098"/>
      <c r="F48" s="1099"/>
      <c r="G48" s="47"/>
      <c r="H48" s="55">
        <v>6</v>
      </c>
    </row>
    <row r="49" spans="1:9" ht="4.5" customHeight="1" thickBot="1" x14ac:dyDescent="0.3">
      <c r="A49" s="54"/>
      <c r="B49" s="56"/>
      <c r="C49" s="58"/>
      <c r="D49" s="58"/>
      <c r="E49" s="58"/>
      <c r="F49" s="58"/>
      <c r="G49" s="47"/>
      <c r="H49" s="57"/>
    </row>
    <row r="50" spans="1:9" ht="30" customHeight="1" thickBot="1" x14ac:dyDescent="0.3">
      <c r="A50" s="54"/>
      <c r="B50" s="43">
        <v>15</v>
      </c>
      <c r="C50" s="1097" t="s">
        <v>800</v>
      </c>
      <c r="D50" s="1098"/>
      <c r="E50" s="1098"/>
      <c r="F50" s="1099"/>
      <c r="G50" s="47"/>
      <c r="H50" s="55">
        <v>1</v>
      </c>
    </row>
    <row r="51" spans="1:9" ht="4.5" customHeight="1" thickBot="1" x14ac:dyDescent="0.3"/>
    <row r="52" spans="1:9" ht="30" customHeight="1" thickBot="1" x14ac:dyDescent="0.3">
      <c r="B52" s="43">
        <v>16</v>
      </c>
      <c r="C52" s="1097" t="s">
        <v>801</v>
      </c>
      <c r="D52" s="1098"/>
      <c r="E52" s="1098"/>
      <c r="F52" s="1099"/>
      <c r="G52" s="53"/>
      <c r="H52" s="55">
        <v>1</v>
      </c>
      <c r="I52" s="47"/>
    </row>
    <row r="53" spans="1:9" ht="4.5" customHeight="1" thickBot="1" x14ac:dyDescent="0.3">
      <c r="B53" s="56"/>
      <c r="C53" s="43"/>
      <c r="D53" s="43"/>
      <c r="E53" s="43"/>
      <c r="F53" s="43"/>
      <c r="G53" s="53"/>
      <c r="H53" s="57"/>
      <c r="I53" s="47"/>
    </row>
    <row r="54" spans="1:9" ht="30" customHeight="1" thickBot="1" x14ac:dyDescent="0.3">
      <c r="B54" s="43">
        <v>17</v>
      </c>
      <c r="C54" s="1097" t="s">
        <v>73</v>
      </c>
      <c r="D54" s="1098"/>
      <c r="E54" s="1098"/>
      <c r="F54" s="1099"/>
      <c r="G54" s="53"/>
      <c r="H54" s="55">
        <v>12</v>
      </c>
      <c r="I54" s="47"/>
    </row>
    <row r="55" spans="1:9" ht="4.5" customHeight="1" thickBot="1" x14ac:dyDescent="0.3">
      <c r="A55" s="54"/>
      <c r="B55" s="56"/>
      <c r="C55" s="58"/>
      <c r="D55" s="58"/>
      <c r="E55" s="58"/>
      <c r="F55" s="58"/>
      <c r="G55" s="59"/>
      <c r="H55" s="57"/>
      <c r="I55" s="47"/>
    </row>
    <row r="56" spans="1:9" ht="30" customHeight="1" thickBot="1" x14ac:dyDescent="0.3">
      <c r="A56" s="60"/>
      <c r="B56" s="43">
        <v>18</v>
      </c>
      <c r="C56" s="1097" t="s">
        <v>802</v>
      </c>
      <c r="D56" s="1098"/>
      <c r="E56" s="1098"/>
      <c r="F56" s="1099"/>
      <c r="G56" s="53"/>
      <c r="H56" s="55">
        <v>3</v>
      </c>
      <c r="I56" s="47"/>
    </row>
    <row r="57" spans="1:9" ht="4.5" customHeight="1" thickBot="1" x14ac:dyDescent="0.3">
      <c r="A57" s="54"/>
      <c r="B57" s="56"/>
      <c r="C57" s="58"/>
      <c r="D57" s="58"/>
      <c r="E57" s="58"/>
      <c r="F57" s="58"/>
      <c r="G57" s="53"/>
      <c r="H57" s="57"/>
      <c r="I57" s="47"/>
    </row>
    <row r="58" spans="1:9" ht="30" customHeight="1" thickBot="1" x14ac:dyDescent="0.3">
      <c r="B58" s="43">
        <v>19</v>
      </c>
      <c r="C58" s="1097" t="s">
        <v>803</v>
      </c>
      <c r="D58" s="1098"/>
      <c r="E58" s="1098"/>
      <c r="F58" s="1099"/>
      <c r="G58" s="53"/>
      <c r="H58" s="55">
        <v>11</v>
      </c>
      <c r="I58" s="47"/>
    </row>
    <row r="59" spans="1:9" ht="4.5" customHeight="1" thickBot="1" x14ac:dyDescent="0.3">
      <c r="A59" s="54"/>
      <c r="B59" s="56"/>
      <c r="C59" s="58"/>
      <c r="D59" s="58"/>
      <c r="E59" s="58"/>
      <c r="F59" s="58"/>
      <c r="G59" s="59"/>
      <c r="H59" s="57"/>
      <c r="I59" s="47"/>
    </row>
    <row r="60" spans="1:9" ht="30" customHeight="1" thickBot="1" x14ac:dyDescent="0.3">
      <c r="B60" s="43">
        <v>20</v>
      </c>
      <c r="C60" s="1097" t="s">
        <v>804</v>
      </c>
      <c r="D60" s="1098"/>
      <c r="E60" s="1098"/>
      <c r="F60" s="1099"/>
      <c r="G60" s="53"/>
      <c r="H60" s="55">
        <v>1</v>
      </c>
      <c r="I60" s="47"/>
    </row>
    <row r="61" spans="1:9" ht="4.5" customHeight="1" thickBot="1" x14ac:dyDescent="0.3">
      <c r="A61" s="54"/>
      <c r="B61" s="56"/>
      <c r="C61" s="58"/>
      <c r="D61" s="58"/>
      <c r="E61" s="58"/>
      <c r="F61" s="58"/>
      <c r="G61" s="47"/>
      <c r="H61" s="57"/>
    </row>
    <row r="62" spans="1:9" ht="30" customHeight="1" thickBot="1" x14ac:dyDescent="0.3">
      <c r="A62" s="60"/>
      <c r="B62" s="43">
        <v>21</v>
      </c>
      <c r="C62" s="1097" t="s">
        <v>806</v>
      </c>
      <c r="D62" s="1098"/>
      <c r="E62" s="1098"/>
      <c r="F62" s="1099"/>
      <c r="G62" s="47"/>
      <c r="H62" s="55">
        <v>1</v>
      </c>
    </row>
    <row r="63" spans="1:9" ht="4.5" customHeight="1" thickBot="1" x14ac:dyDescent="0.3">
      <c r="A63" s="54"/>
      <c r="B63" s="56"/>
      <c r="C63" s="58"/>
      <c r="D63" s="58"/>
      <c r="E63" s="58"/>
      <c r="F63" s="58"/>
      <c r="G63" s="47"/>
      <c r="H63" s="57"/>
    </row>
    <row r="64" spans="1:9" ht="30" customHeight="1" thickBot="1" x14ac:dyDescent="0.3">
      <c r="A64" s="54"/>
      <c r="B64" s="43">
        <v>22</v>
      </c>
      <c r="C64" s="1097" t="s">
        <v>805</v>
      </c>
      <c r="D64" s="1098"/>
      <c r="E64" s="1098"/>
      <c r="F64" s="1099"/>
      <c r="G64" s="47"/>
      <c r="H64" s="55">
        <v>2</v>
      </c>
    </row>
    <row r="65" spans="1:9" ht="4.5" customHeight="1" thickBot="1" x14ac:dyDescent="0.3"/>
    <row r="66" spans="1:9" ht="30" customHeight="1" thickBot="1" x14ac:dyDescent="0.3">
      <c r="B66" s="43">
        <v>23</v>
      </c>
      <c r="C66" s="1097" t="s">
        <v>807</v>
      </c>
      <c r="D66" s="1098"/>
      <c r="E66" s="1098"/>
      <c r="F66" s="1099"/>
      <c r="G66" s="53"/>
      <c r="H66" s="55">
        <v>3</v>
      </c>
      <c r="I66" s="47"/>
    </row>
    <row r="67" spans="1:9" ht="4.5" customHeight="1" thickBot="1" x14ac:dyDescent="0.3">
      <c r="B67" s="56"/>
      <c r="C67" s="43"/>
      <c r="D67" s="43"/>
      <c r="E67" s="43"/>
      <c r="F67" s="43"/>
      <c r="G67" s="53"/>
      <c r="H67" s="57"/>
      <c r="I67" s="47"/>
    </row>
    <row r="68" spans="1:9" ht="30" customHeight="1" thickBot="1" x14ac:dyDescent="0.3">
      <c r="B68" s="43">
        <v>24</v>
      </c>
      <c r="C68" s="1097" t="s">
        <v>808</v>
      </c>
      <c r="D68" s="1098"/>
      <c r="E68" s="1098"/>
      <c r="F68" s="1099"/>
      <c r="G68" s="53"/>
      <c r="H68" s="55">
        <v>1</v>
      </c>
      <c r="I68" s="47"/>
    </row>
    <row r="69" spans="1:9" ht="4.5" customHeight="1" thickBot="1" x14ac:dyDescent="0.3">
      <c r="A69" s="54"/>
      <c r="B69" s="56"/>
      <c r="C69" s="58"/>
      <c r="D69" s="58"/>
      <c r="E69" s="58"/>
      <c r="F69" s="58"/>
      <c r="G69" s="59"/>
      <c r="H69" s="57"/>
      <c r="I69" s="47"/>
    </row>
    <row r="70" spans="1:9" ht="30" customHeight="1" thickBot="1" x14ac:dyDescent="0.3">
      <c r="A70" s="60"/>
      <c r="B70" s="43">
        <v>25</v>
      </c>
      <c r="C70" s="1097"/>
      <c r="D70" s="1098"/>
      <c r="E70" s="1098"/>
      <c r="F70" s="1099"/>
      <c r="G70" s="53"/>
      <c r="H70" s="55"/>
      <c r="I70" s="47"/>
    </row>
    <row r="71" spans="1:9" ht="4.5" customHeight="1" thickBot="1" x14ac:dyDescent="0.3">
      <c r="A71" s="54"/>
      <c r="B71" s="56"/>
      <c r="C71" s="58"/>
      <c r="D71" s="58"/>
      <c r="E71" s="58"/>
      <c r="F71" s="58"/>
      <c r="G71" s="53"/>
      <c r="H71" s="57"/>
      <c r="I71" s="47"/>
    </row>
    <row r="72" spans="1:9" ht="30" customHeight="1" thickBot="1" x14ac:dyDescent="0.3">
      <c r="B72" s="43">
        <v>26</v>
      </c>
      <c r="C72" s="1097"/>
      <c r="D72" s="1098"/>
      <c r="E72" s="1098"/>
      <c r="F72" s="1099"/>
      <c r="G72" s="53"/>
      <c r="H72" s="55"/>
      <c r="I72" s="47"/>
    </row>
    <row r="73" spans="1:9" ht="4.5" customHeight="1" thickBot="1" x14ac:dyDescent="0.3">
      <c r="A73" s="54"/>
      <c r="B73" s="56"/>
      <c r="C73" s="58"/>
      <c r="D73" s="58"/>
      <c r="E73" s="58"/>
      <c r="F73" s="58"/>
      <c r="G73" s="59"/>
      <c r="H73" s="57"/>
      <c r="I73" s="47"/>
    </row>
    <row r="74" spans="1:9" ht="30" customHeight="1" thickBot="1" x14ac:dyDescent="0.3">
      <c r="B74" s="43">
        <v>27</v>
      </c>
      <c r="C74" s="1097"/>
      <c r="D74" s="1098"/>
      <c r="E74" s="1098"/>
      <c r="F74" s="1099"/>
      <c r="G74" s="53"/>
      <c r="H74" s="55"/>
      <c r="I74" s="47"/>
    </row>
    <row r="75" spans="1:9" ht="4.5" customHeight="1" thickBot="1" x14ac:dyDescent="0.3">
      <c r="A75" s="54"/>
      <c r="B75" s="56"/>
      <c r="C75" s="58"/>
      <c r="D75" s="58"/>
      <c r="E75" s="58"/>
      <c r="F75" s="58"/>
      <c r="G75" s="47"/>
      <c r="H75" s="57"/>
    </row>
    <row r="76" spans="1:9" ht="30" customHeight="1" thickBot="1" x14ac:dyDescent="0.3">
      <c r="A76" s="60"/>
      <c r="B76" s="43">
        <v>28</v>
      </c>
      <c r="C76" s="1097"/>
      <c r="D76" s="1098"/>
      <c r="E76" s="1098"/>
      <c r="F76" s="1099"/>
      <c r="G76" s="47"/>
      <c r="H76" s="55"/>
    </row>
    <row r="77" spans="1:9" ht="4.5" customHeight="1" thickBot="1" x14ac:dyDescent="0.3">
      <c r="A77" s="54"/>
      <c r="B77" s="56"/>
      <c r="C77" s="58"/>
      <c r="D77" s="58"/>
      <c r="E77" s="58"/>
      <c r="F77" s="58"/>
      <c r="G77" s="47"/>
      <c r="H77" s="57"/>
    </row>
    <row r="78" spans="1:9" ht="30" customHeight="1" thickBot="1" x14ac:dyDescent="0.3">
      <c r="A78" s="54"/>
      <c r="B78" s="43">
        <v>29</v>
      </c>
      <c r="C78" s="1097"/>
      <c r="D78" s="1098"/>
      <c r="E78" s="1098"/>
      <c r="F78" s="1099"/>
      <c r="G78" s="47"/>
      <c r="H78" s="55"/>
    </row>
    <row r="79" spans="1:9" ht="3.75" customHeight="1" thickBot="1" x14ac:dyDescent="0.3"/>
    <row r="80" spans="1:9" ht="30" customHeight="1" thickBot="1" x14ac:dyDescent="0.3">
      <c r="A80" s="47"/>
      <c r="B80" s="43">
        <v>30</v>
      </c>
      <c r="C80" s="1097"/>
      <c r="D80" s="1098"/>
      <c r="E80" s="1098"/>
      <c r="F80" s="1099"/>
      <c r="G80" s="47"/>
      <c r="H80" s="55"/>
      <c r="I80" s="47"/>
    </row>
    <row r="81" spans="1:9" ht="4.5" customHeight="1" x14ac:dyDescent="0.25">
      <c r="A81" s="210"/>
      <c r="B81" s="56"/>
      <c r="C81" s="43"/>
      <c r="D81" s="43"/>
      <c r="E81" s="43"/>
      <c r="F81" s="43"/>
      <c r="G81" s="53"/>
      <c r="H81" s="57"/>
      <c r="I81" s="47"/>
    </row>
    <row r="82" spans="1:9" ht="30" customHeight="1" x14ac:dyDescent="0.25">
      <c r="A82" s="47"/>
      <c r="B82" s="43"/>
      <c r="C82" s="1096"/>
      <c r="D82" s="1096"/>
      <c r="E82" s="1096"/>
      <c r="F82" s="1096"/>
      <c r="G82" s="53"/>
      <c r="H82" s="57"/>
      <c r="I82" s="47"/>
    </row>
    <row r="83" spans="1:9" ht="4.5" customHeight="1" x14ac:dyDescent="0.25">
      <c r="A83" s="54"/>
      <c r="B83" s="56"/>
      <c r="C83" s="58"/>
      <c r="D83" s="58"/>
      <c r="E83" s="58"/>
      <c r="F83" s="58"/>
      <c r="G83" s="59"/>
      <c r="H83" s="57"/>
      <c r="I83" s="47"/>
    </row>
    <row r="84" spans="1:9" ht="30" customHeight="1" x14ac:dyDescent="0.25">
      <c r="A84" s="60"/>
      <c r="B84" s="43"/>
      <c r="C84" s="1096"/>
      <c r="D84" s="1096"/>
      <c r="E84" s="1096"/>
      <c r="F84" s="1096"/>
      <c r="G84" s="53"/>
      <c r="H84" s="57"/>
      <c r="I84" s="47"/>
    </row>
    <row r="85" spans="1:9" ht="4.5" customHeight="1" x14ac:dyDescent="0.25">
      <c r="A85" s="54"/>
      <c r="B85" s="56"/>
      <c r="C85" s="58"/>
      <c r="D85" s="58"/>
      <c r="E85" s="58"/>
      <c r="F85" s="58"/>
      <c r="G85" s="53"/>
      <c r="H85" s="57"/>
      <c r="I85" s="47"/>
    </row>
    <row r="86" spans="1:9" ht="30" customHeight="1" x14ac:dyDescent="0.25">
      <c r="A86" s="47"/>
      <c r="B86" s="43"/>
      <c r="C86" s="1096"/>
      <c r="D86" s="1096"/>
      <c r="E86" s="1096"/>
      <c r="F86" s="1096"/>
      <c r="G86" s="53"/>
      <c r="H86" s="57"/>
      <c r="I86" s="47"/>
    </row>
    <row r="87" spans="1:9" ht="4.5" customHeight="1" x14ac:dyDescent="0.25">
      <c r="A87" s="54"/>
      <c r="B87" s="56"/>
      <c r="C87" s="58"/>
      <c r="D87" s="58"/>
      <c r="E87" s="58"/>
      <c r="F87" s="58"/>
      <c r="G87" s="59"/>
      <c r="H87" s="57"/>
      <c r="I87" s="47"/>
    </row>
    <row r="88" spans="1:9" ht="30" customHeight="1" x14ac:dyDescent="0.25">
      <c r="A88" s="47"/>
      <c r="B88" s="43"/>
      <c r="C88" s="1096"/>
      <c r="D88" s="1096"/>
      <c r="E88" s="1096"/>
      <c r="F88" s="1096"/>
      <c r="G88" s="53"/>
      <c r="H88" s="57"/>
      <c r="I88" s="47"/>
    </row>
    <row r="89" spans="1:9" ht="4.5" customHeight="1" x14ac:dyDescent="0.25">
      <c r="A89" s="54"/>
      <c r="B89" s="56"/>
      <c r="C89" s="58"/>
      <c r="D89" s="58"/>
      <c r="E89" s="58"/>
      <c r="F89" s="58"/>
      <c r="G89" s="47"/>
      <c r="H89" s="57"/>
      <c r="I89" s="47"/>
    </row>
    <row r="90" spans="1:9" ht="30" customHeight="1" x14ac:dyDescent="0.25">
      <c r="A90" s="60"/>
      <c r="B90" s="43"/>
      <c r="C90" s="1096"/>
      <c r="D90" s="1096"/>
      <c r="E90" s="1096"/>
      <c r="F90" s="1096"/>
      <c r="G90" s="47"/>
      <c r="H90" s="57"/>
      <c r="I90" s="47"/>
    </row>
    <row r="91" spans="1:9" ht="4.5" customHeight="1" x14ac:dyDescent="0.25">
      <c r="A91" s="54"/>
      <c r="B91" s="56"/>
      <c r="C91" s="58"/>
      <c r="D91" s="58"/>
      <c r="E91" s="58"/>
      <c r="F91" s="58"/>
      <c r="G91" s="47"/>
      <c r="H91" s="57"/>
      <c r="I91" s="47"/>
    </row>
    <row r="92" spans="1:9" ht="30" customHeight="1" x14ac:dyDescent="0.25">
      <c r="A92" s="54"/>
      <c r="B92" s="43"/>
      <c r="C92" s="1096"/>
      <c r="D92" s="1096"/>
      <c r="E92" s="1096"/>
      <c r="F92" s="1096"/>
      <c r="G92" s="47"/>
      <c r="H92" s="57"/>
      <c r="I92" s="47"/>
    </row>
    <row r="93" spans="1:9" ht="4.5" customHeight="1" x14ac:dyDescent="0.25">
      <c r="A93" s="47"/>
      <c r="B93" s="47"/>
      <c r="C93" s="47"/>
      <c r="D93" s="47"/>
      <c r="E93" s="47"/>
      <c r="F93" s="47"/>
      <c r="G93" s="47"/>
      <c r="H93" s="47"/>
      <c r="I93" s="47"/>
    </row>
    <row r="94" spans="1:9" ht="30" customHeight="1" x14ac:dyDescent="0.25">
      <c r="A94" s="47"/>
      <c r="B94" s="43"/>
      <c r="C94" s="1096"/>
      <c r="D94" s="1096"/>
      <c r="E94" s="1096"/>
      <c r="F94" s="1096"/>
      <c r="G94" s="53"/>
      <c r="H94" s="57"/>
      <c r="I94" s="47"/>
    </row>
    <row r="95" spans="1:9" ht="4.5" customHeight="1" x14ac:dyDescent="0.25">
      <c r="A95" s="47"/>
      <c r="B95" s="56"/>
      <c r="C95" s="43"/>
      <c r="D95" s="43"/>
      <c r="E95" s="43"/>
      <c r="F95" s="43"/>
      <c r="G95" s="53"/>
      <c r="H95" s="57"/>
      <c r="I95" s="47"/>
    </row>
    <row r="96" spans="1:9" ht="30" customHeight="1" x14ac:dyDescent="0.25">
      <c r="A96" s="47"/>
      <c r="B96" s="43"/>
      <c r="C96" s="1096"/>
      <c r="D96" s="1096"/>
      <c r="E96" s="1096"/>
      <c r="F96" s="1096"/>
      <c r="G96" s="53"/>
      <c r="H96" s="57"/>
      <c r="I96" s="47"/>
    </row>
    <row r="97" spans="1:9" ht="4.5" customHeight="1" x14ac:dyDescent="0.25">
      <c r="A97" s="54"/>
      <c r="B97" s="56"/>
      <c r="C97" s="58"/>
      <c r="D97" s="58"/>
      <c r="E97" s="58"/>
      <c r="F97" s="58"/>
      <c r="G97" s="59"/>
      <c r="H97" s="57"/>
      <c r="I97" s="47"/>
    </row>
    <row r="98" spans="1:9" ht="30" customHeight="1" x14ac:dyDescent="0.25">
      <c r="A98" s="60"/>
      <c r="B98" s="43"/>
      <c r="C98" s="1096"/>
      <c r="D98" s="1096"/>
      <c r="E98" s="1096"/>
      <c r="F98" s="1096"/>
      <c r="G98" s="53"/>
      <c r="H98" s="57"/>
      <c r="I98" s="47"/>
    </row>
    <row r="99" spans="1:9" ht="4.5" customHeight="1" x14ac:dyDescent="0.25">
      <c r="A99" s="54"/>
      <c r="B99" s="56"/>
      <c r="C99" s="58"/>
      <c r="D99" s="58"/>
      <c r="E99" s="58"/>
      <c r="F99" s="58"/>
      <c r="G99" s="53"/>
      <c r="H99" s="57"/>
      <c r="I99" s="47"/>
    </row>
    <row r="100" spans="1:9" ht="30" customHeight="1" x14ac:dyDescent="0.25">
      <c r="A100" s="47"/>
      <c r="B100" s="43"/>
      <c r="C100" s="1096"/>
      <c r="D100" s="1096"/>
      <c r="E100" s="1096"/>
      <c r="F100" s="1096"/>
      <c r="G100" s="53"/>
      <c r="H100" s="57"/>
      <c r="I100" s="47"/>
    </row>
    <row r="101" spans="1:9" ht="4.5" customHeight="1" x14ac:dyDescent="0.25">
      <c r="A101" s="54"/>
      <c r="B101" s="56"/>
      <c r="C101" s="58"/>
      <c r="D101" s="58"/>
      <c r="E101" s="58"/>
      <c r="F101" s="58"/>
      <c r="G101" s="59"/>
      <c r="H101" s="57"/>
      <c r="I101" s="47"/>
    </row>
    <row r="102" spans="1:9" ht="30" customHeight="1" x14ac:dyDescent="0.25">
      <c r="A102" s="47"/>
      <c r="B102" s="43"/>
      <c r="C102" s="1096"/>
      <c r="D102" s="1096"/>
      <c r="E102" s="1096"/>
      <c r="F102" s="1096"/>
      <c r="G102" s="53"/>
      <c r="H102" s="57"/>
      <c r="I102" s="47"/>
    </row>
    <row r="103" spans="1:9" ht="4.5" customHeight="1" x14ac:dyDescent="0.25">
      <c r="A103" s="54"/>
      <c r="B103" s="56"/>
      <c r="C103" s="58"/>
      <c r="D103" s="58"/>
      <c r="E103" s="58"/>
      <c r="F103" s="58"/>
      <c r="G103" s="47"/>
      <c r="H103" s="57"/>
      <c r="I103" s="47"/>
    </row>
    <row r="104" spans="1:9" ht="30" customHeight="1" x14ac:dyDescent="0.25">
      <c r="A104" s="60"/>
      <c r="B104" s="43"/>
      <c r="C104" s="1096"/>
      <c r="D104" s="1096"/>
      <c r="E104" s="1096"/>
      <c r="F104" s="1096"/>
      <c r="G104" s="47"/>
      <c r="H104" s="57"/>
      <c r="I104" s="47"/>
    </row>
    <row r="105" spans="1:9" ht="4.5" customHeight="1" x14ac:dyDescent="0.25">
      <c r="A105" s="54"/>
      <c r="B105" s="56"/>
      <c r="C105" s="58"/>
      <c r="D105" s="58"/>
      <c r="E105" s="58"/>
      <c r="F105" s="58"/>
      <c r="G105" s="47"/>
      <c r="H105" s="57"/>
      <c r="I105" s="47"/>
    </row>
    <row r="106" spans="1:9" ht="30" customHeight="1" x14ac:dyDescent="0.25">
      <c r="A106" s="54"/>
      <c r="B106" s="43"/>
      <c r="C106" s="1096"/>
      <c r="D106" s="1096"/>
      <c r="E106" s="1096"/>
      <c r="F106" s="1096"/>
      <c r="G106" s="47"/>
      <c r="H106" s="57"/>
      <c r="I106" s="47"/>
    </row>
    <row r="107" spans="1:9" ht="4.5" customHeight="1" x14ac:dyDescent="0.25">
      <c r="A107" s="47"/>
      <c r="B107" s="47"/>
      <c r="C107" s="47"/>
      <c r="D107" s="47"/>
      <c r="E107" s="47"/>
      <c r="F107" s="47"/>
      <c r="G107" s="47"/>
      <c r="H107" s="47"/>
      <c r="I107" s="47"/>
    </row>
    <row r="108" spans="1:9" ht="30" customHeight="1" x14ac:dyDescent="0.25">
      <c r="A108" s="47"/>
      <c r="B108" s="43"/>
      <c r="C108" s="1096"/>
      <c r="D108" s="1096"/>
      <c r="E108" s="1096"/>
      <c r="F108" s="1096"/>
      <c r="G108" s="53"/>
      <c r="H108" s="57"/>
      <c r="I108" s="47"/>
    </row>
    <row r="109" spans="1:9" ht="4.5" customHeight="1" x14ac:dyDescent="0.25">
      <c r="A109" s="47"/>
      <c r="B109" s="56"/>
      <c r="C109" s="43"/>
      <c r="D109" s="43"/>
      <c r="E109" s="43"/>
      <c r="F109" s="43"/>
      <c r="G109" s="53"/>
      <c r="H109" s="57"/>
      <c r="I109" s="47"/>
    </row>
    <row r="110" spans="1:9" ht="30" customHeight="1" x14ac:dyDescent="0.25">
      <c r="A110" s="47"/>
      <c r="B110" s="43"/>
      <c r="C110" s="1096"/>
      <c r="D110" s="1096"/>
      <c r="E110" s="1096"/>
      <c r="F110" s="1096"/>
      <c r="G110" s="53"/>
      <c r="H110" s="57"/>
      <c r="I110" s="47"/>
    </row>
    <row r="111" spans="1:9" ht="4.5" customHeight="1" x14ac:dyDescent="0.25">
      <c r="A111" s="54"/>
      <c r="B111" s="56"/>
      <c r="C111" s="58"/>
      <c r="D111" s="58"/>
      <c r="E111" s="58"/>
      <c r="F111" s="58"/>
      <c r="G111" s="59"/>
      <c r="H111" s="57"/>
      <c r="I111" s="47"/>
    </row>
    <row r="112" spans="1:9" ht="30" customHeight="1" x14ac:dyDescent="0.25">
      <c r="A112" s="60"/>
      <c r="B112" s="43"/>
      <c r="C112" s="1096"/>
      <c r="D112" s="1096"/>
      <c r="E112" s="1096"/>
      <c r="F112" s="1096"/>
      <c r="G112" s="53"/>
      <c r="H112" s="57"/>
      <c r="I112" s="47"/>
    </row>
    <row r="113" spans="1:9" ht="4.5" customHeight="1" x14ac:dyDescent="0.25">
      <c r="A113" s="54"/>
      <c r="B113" s="56"/>
      <c r="C113" s="58"/>
      <c r="D113" s="58"/>
      <c r="E113" s="58"/>
      <c r="F113" s="58"/>
      <c r="G113" s="53"/>
      <c r="H113" s="57"/>
      <c r="I113" s="47"/>
    </row>
    <row r="114" spans="1:9" ht="30" customHeight="1" x14ac:dyDescent="0.25">
      <c r="A114" s="47"/>
      <c r="B114" s="43"/>
      <c r="C114" s="1096"/>
      <c r="D114" s="1096"/>
      <c r="E114" s="1096"/>
      <c r="F114" s="1096"/>
      <c r="G114" s="53"/>
      <c r="H114" s="57"/>
      <c r="I114" s="47"/>
    </row>
    <row r="115" spans="1:9" ht="4.5" customHeight="1" x14ac:dyDescent="0.25">
      <c r="A115" s="54"/>
      <c r="B115" s="56"/>
      <c r="C115" s="58"/>
      <c r="D115" s="58"/>
      <c r="E115" s="58"/>
      <c r="F115" s="58"/>
      <c r="G115" s="59"/>
      <c r="H115" s="57"/>
      <c r="I115" s="47"/>
    </row>
    <row r="116" spans="1:9" ht="30" customHeight="1" x14ac:dyDescent="0.25">
      <c r="A116" s="47"/>
      <c r="B116" s="43"/>
      <c r="C116" s="1096"/>
      <c r="D116" s="1096"/>
      <c r="E116" s="1096"/>
      <c r="F116" s="1096"/>
      <c r="G116" s="53"/>
      <c r="H116" s="57"/>
      <c r="I116" s="47"/>
    </row>
    <row r="117" spans="1:9" ht="4.5" customHeight="1" x14ac:dyDescent="0.25">
      <c r="A117" s="54"/>
      <c r="B117" s="56"/>
      <c r="C117" s="58"/>
      <c r="D117" s="58"/>
      <c r="E117" s="58"/>
      <c r="F117" s="58"/>
      <c r="G117" s="47"/>
      <c r="H117" s="57"/>
      <c r="I117" s="47"/>
    </row>
    <row r="118" spans="1:9" ht="30" customHeight="1" x14ac:dyDescent="0.25">
      <c r="A118" s="60"/>
      <c r="B118" s="43"/>
      <c r="C118" s="1096"/>
      <c r="D118" s="1096"/>
      <c r="E118" s="1096"/>
      <c r="F118" s="1096"/>
      <c r="G118" s="47"/>
      <c r="H118" s="57"/>
      <c r="I118" s="47"/>
    </row>
    <row r="119" spans="1:9" ht="4.5" customHeight="1" x14ac:dyDescent="0.25">
      <c r="A119" s="54"/>
      <c r="B119" s="56"/>
      <c r="C119" s="58"/>
      <c r="D119" s="58"/>
      <c r="E119" s="58"/>
      <c r="F119" s="58"/>
      <c r="G119" s="47"/>
      <c r="H119" s="57"/>
      <c r="I119" s="47"/>
    </row>
    <row r="120" spans="1:9" ht="30" customHeight="1" x14ac:dyDescent="0.25">
      <c r="A120" s="54"/>
      <c r="B120" s="43"/>
      <c r="C120" s="1096"/>
      <c r="D120" s="1096"/>
      <c r="E120" s="1096"/>
      <c r="F120" s="1096"/>
      <c r="G120" s="47"/>
      <c r="H120" s="57"/>
      <c r="I120" s="47"/>
    </row>
  </sheetData>
  <sheetProtection password="EADF" sheet="1"/>
  <protectedRanges>
    <protectedRange sqref="C22 H22 C24 H24 C26 H26 C28 H28 C30 H30 C32 H32 C34 H34 C36 H36 C38 H38 C40 H40 C42 H42 C44 H44 C46 H46 C48 H48 C50 H50 C52 H52 C54 H54 C56 H56 C58 H58 C60 H60 C62 H62 C64 H64 C66 H66 C68 H68 C70 H70 C72 H72 C74 H74 C76 H76 C78 H78 C82 H82 C84 H84 C86 H86 C88 H88 C90 H90 C92 H92 C94 H94 C96 H96 C98 H98 C100 H100 C102 H102 C104 H104 C106 H106 C108 H108 C110 H110 C112 H112 C114 H114 C116 H116 C118 H118 C120 H120 C80 H80" name="Rango2"/>
    <protectedRange sqref="C7 C9 C11 C13 C15 C17 C19" name="Rango1"/>
  </protectedRanges>
  <mergeCells count="63">
    <mergeCell ref="C15:F15"/>
    <mergeCell ref="C9:H9"/>
    <mergeCell ref="C11:H11"/>
    <mergeCell ref="C13:F13"/>
    <mergeCell ref="A1:H1"/>
    <mergeCell ref="A2:H2"/>
    <mergeCell ref="A3:H3"/>
    <mergeCell ref="A4:H4"/>
    <mergeCell ref="A5:H5"/>
    <mergeCell ref="C7:H7"/>
    <mergeCell ref="C36:F36"/>
    <mergeCell ref="C38:F38"/>
    <mergeCell ref="C40:F40"/>
    <mergeCell ref="C42:F42"/>
    <mergeCell ref="C17:F17"/>
    <mergeCell ref="C21:F21"/>
    <mergeCell ref="C32:F32"/>
    <mergeCell ref="C34:F34"/>
    <mergeCell ref="C30:F30"/>
    <mergeCell ref="A22:A26"/>
    <mergeCell ref="C22:F22"/>
    <mergeCell ref="C24:F24"/>
    <mergeCell ref="C26:F26"/>
    <mergeCell ref="C28:F28"/>
    <mergeCell ref="C44:F44"/>
    <mergeCell ref="C66:F66"/>
    <mergeCell ref="C48:F48"/>
    <mergeCell ref="C50:F50"/>
    <mergeCell ref="C52:F52"/>
    <mergeCell ref="C54:F54"/>
    <mergeCell ref="C56:F56"/>
    <mergeCell ref="C58:F58"/>
    <mergeCell ref="C60:F60"/>
    <mergeCell ref="C62:F62"/>
    <mergeCell ref="C46:F46"/>
    <mergeCell ref="C64:F64"/>
    <mergeCell ref="C86:F86"/>
    <mergeCell ref="C68:F68"/>
    <mergeCell ref="C70:F70"/>
    <mergeCell ref="C72:F72"/>
    <mergeCell ref="C74:F74"/>
    <mergeCell ref="C76:F76"/>
    <mergeCell ref="C78:F78"/>
    <mergeCell ref="C80:F80"/>
    <mergeCell ref="C82:F82"/>
    <mergeCell ref="C84:F84"/>
    <mergeCell ref="C106:F106"/>
    <mergeCell ref="C88:F88"/>
    <mergeCell ref="C90:F90"/>
    <mergeCell ref="C92:F92"/>
    <mergeCell ref="C94:F94"/>
    <mergeCell ref="C96:F96"/>
    <mergeCell ref="C98:F98"/>
    <mergeCell ref="C100:F100"/>
    <mergeCell ref="C102:F102"/>
    <mergeCell ref="C104:F104"/>
    <mergeCell ref="C118:F118"/>
    <mergeCell ref="C120:F120"/>
    <mergeCell ref="C108:F108"/>
    <mergeCell ref="C110:F110"/>
    <mergeCell ref="C112:F112"/>
    <mergeCell ref="C114:F114"/>
    <mergeCell ref="C116:F116"/>
  </mergeCells>
  <phoneticPr fontId="60" type="noConversion"/>
  <printOptions horizontalCentered="1"/>
  <pageMargins left="0.23622047244094491" right="0.27559055118110237" top="0.31496062992125984" bottom="0.27559055118110237" header="0" footer="0"/>
  <pageSetup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68"/>
  <sheetViews>
    <sheetView view="pageBreakPreview" zoomScale="87" zoomScaleNormal="100" zoomScaleSheetLayoutView="87" workbookViewId="0">
      <selection activeCell="D66" sqref="D66"/>
    </sheetView>
  </sheetViews>
  <sheetFormatPr baseColWidth="10" defaultRowHeight="15" x14ac:dyDescent="0.25"/>
  <cols>
    <col min="1" max="1" width="3.42578125" style="100" customWidth="1"/>
    <col min="2" max="2" width="25.42578125" style="100" customWidth="1"/>
    <col min="3" max="3" width="21.140625" style="100" customWidth="1"/>
    <col min="4" max="16384" width="11.42578125" style="100"/>
  </cols>
  <sheetData>
    <row r="1" spans="2:7" x14ac:dyDescent="0.25">
      <c r="B1" s="116" t="s">
        <v>571</v>
      </c>
    </row>
    <row r="2" spans="2:7" ht="15.75" thickBot="1" x14ac:dyDescent="0.3"/>
    <row r="3" spans="2:7" ht="25.5" x14ac:dyDescent="0.25">
      <c r="B3" s="135" t="s">
        <v>65</v>
      </c>
      <c r="C3" s="324" t="s">
        <v>66</v>
      </c>
      <c r="D3" s="324" t="s">
        <v>60</v>
      </c>
      <c r="E3" s="324" t="s">
        <v>82</v>
      </c>
      <c r="F3" s="1144" t="s">
        <v>83</v>
      </c>
      <c r="G3" s="1145"/>
    </row>
    <row r="4" spans="2:7" ht="38.25" x14ac:dyDescent="0.25">
      <c r="B4" s="136" t="s">
        <v>84</v>
      </c>
      <c r="C4" s="125" t="s">
        <v>85</v>
      </c>
      <c r="D4" s="125" t="str">
        <f>"Cantidad "&amp;C4&amp;" 2009"</f>
        <v>Cantidad Ración 2009</v>
      </c>
      <c r="E4" s="125" t="str">
        <f>"Porcentaje "&amp;C4&amp;" 2009"</f>
        <v>Porcentaje Ración 2009</v>
      </c>
      <c r="F4" s="125" t="s">
        <v>692</v>
      </c>
      <c r="G4" s="137" t="str">
        <f>C4&amp;" por Servicio Final"</f>
        <v>Ración por Servicio Final</v>
      </c>
    </row>
    <row r="5" spans="2:7" x14ac:dyDescent="0.25">
      <c r="B5" s="138" t="s">
        <v>70</v>
      </c>
      <c r="C5" s="120"/>
      <c r="D5" s="134"/>
      <c r="E5" s="134"/>
      <c r="F5" s="134"/>
      <c r="G5" s="139"/>
    </row>
    <row r="6" spans="2:7" x14ac:dyDescent="0.25">
      <c r="B6" s="129" t="s">
        <v>41</v>
      </c>
      <c r="C6" s="121" t="s">
        <v>85</v>
      </c>
      <c r="D6" s="269">
        <v>15377</v>
      </c>
      <c r="E6" s="118">
        <f t="shared" ref="E6:E13" si="0">IF(ISERROR(D6/$D$14),"",D6/$D$14)</f>
        <v>0.27924165107959392</v>
      </c>
      <c r="F6" s="130">
        <f>'5_Produccion_Desagregada_10_09'!C10</f>
        <v>1341</v>
      </c>
      <c r="G6" s="131">
        <f>IF(ISERROR(D6/F6),"",D6/F6)</f>
        <v>11.466815809097689</v>
      </c>
    </row>
    <row r="7" spans="2:7" x14ac:dyDescent="0.25">
      <c r="B7" s="129" t="s">
        <v>42</v>
      </c>
      <c r="C7" s="121" t="s">
        <v>85</v>
      </c>
      <c r="D7" s="269">
        <v>10180</v>
      </c>
      <c r="E7" s="118">
        <f t="shared" si="0"/>
        <v>0.18486570904534477</v>
      </c>
      <c r="F7" s="130">
        <f>'5_Produccion_Desagregada_10_09'!C11</f>
        <v>1026</v>
      </c>
      <c r="G7" s="131">
        <f t="shared" ref="G7:G13" si="1">IF(ISERROR(D7/F7),"",D7/F7)</f>
        <v>9.9220272904483426</v>
      </c>
    </row>
    <row r="8" spans="2:7" x14ac:dyDescent="0.25">
      <c r="B8" s="129" t="s">
        <v>43</v>
      </c>
      <c r="C8" s="121" t="s">
        <v>85</v>
      </c>
      <c r="D8" s="269">
        <v>5547</v>
      </c>
      <c r="E8" s="118">
        <f t="shared" si="0"/>
        <v>0.10073183576370603</v>
      </c>
      <c r="F8" s="130">
        <f>'5_Produccion_Desagregada_10_09'!C12</f>
        <v>423</v>
      </c>
      <c r="G8" s="131">
        <f t="shared" si="1"/>
        <v>13.113475177304965</v>
      </c>
    </row>
    <row r="9" spans="2:7" x14ac:dyDescent="0.25">
      <c r="B9" s="129" t="s">
        <v>44</v>
      </c>
      <c r="C9" s="121" t="s">
        <v>85</v>
      </c>
      <c r="D9" s="269">
        <v>13604</v>
      </c>
      <c r="E9" s="118">
        <f t="shared" si="0"/>
        <v>0.24704450941580255</v>
      </c>
      <c r="F9" s="130">
        <f>'5_Produccion_Desagregada_10_09'!C13</f>
        <v>1452</v>
      </c>
      <c r="G9" s="131">
        <f t="shared" si="1"/>
        <v>9.3691460055096414</v>
      </c>
    </row>
    <row r="10" spans="2:7" x14ac:dyDescent="0.25">
      <c r="B10" s="129" t="s">
        <v>45</v>
      </c>
      <c r="C10" s="121" t="s">
        <v>85</v>
      </c>
      <c r="D10" s="269">
        <v>10089</v>
      </c>
      <c r="E10" s="118">
        <f t="shared" si="0"/>
        <v>0.18321317667568598</v>
      </c>
      <c r="F10" s="130">
        <f>'5_Produccion_Desagregada_10_09'!C14</f>
        <v>1330</v>
      </c>
      <c r="G10" s="131" t="str">
        <f>IF(ISERROR(#REF!/F10),"",#REF!/F10)</f>
        <v/>
      </c>
    </row>
    <row r="11" spans="2:7" x14ac:dyDescent="0.25">
      <c r="B11" s="129" t="s">
        <v>46</v>
      </c>
      <c r="C11" s="121" t="s">
        <v>85</v>
      </c>
      <c r="D11" s="269">
        <v>270</v>
      </c>
      <c r="E11" s="118">
        <f t="shared" si="0"/>
        <v>4.9031180198667078E-3</v>
      </c>
      <c r="F11" s="130">
        <f>'5_Produccion_Desagregada_10_09'!C15</f>
        <v>353</v>
      </c>
      <c r="G11" s="131" t="str">
        <f>IF(ISERROR(#REF!/F11),"",#REF!/F11)</f>
        <v/>
      </c>
    </row>
    <row r="12" spans="2:7" x14ac:dyDescent="0.25">
      <c r="B12" s="129" t="s">
        <v>47</v>
      </c>
      <c r="C12" s="121" t="s">
        <v>85</v>
      </c>
      <c r="D12" s="269">
        <v>0</v>
      </c>
      <c r="E12" s="118">
        <f t="shared" si="0"/>
        <v>0</v>
      </c>
      <c r="F12" s="130">
        <f>'5_Produccion_Desagregada_10_09'!C16</f>
        <v>0</v>
      </c>
      <c r="G12" s="131" t="str">
        <f t="shared" si="1"/>
        <v/>
      </c>
    </row>
    <row r="13" spans="2:7" x14ac:dyDescent="0.25">
      <c r="B13" s="129" t="s">
        <v>48</v>
      </c>
      <c r="C13" s="121" t="s">
        <v>85</v>
      </c>
      <c r="D13" s="269">
        <v>0</v>
      </c>
      <c r="E13" s="118">
        <f t="shared" si="0"/>
        <v>0</v>
      </c>
      <c r="F13" s="130">
        <f>'5_Produccion_Desagregada_10_09'!C17</f>
        <v>0</v>
      </c>
      <c r="G13" s="131" t="str">
        <f t="shared" si="1"/>
        <v/>
      </c>
    </row>
    <row r="14" spans="2:7" ht="21" customHeight="1" x14ac:dyDescent="0.25">
      <c r="B14" s="334" t="s">
        <v>33</v>
      </c>
      <c r="C14" s="335" t="s">
        <v>85</v>
      </c>
      <c r="D14" s="127">
        <f>SUM(D6:D13)</f>
        <v>55067</v>
      </c>
      <c r="E14" s="598">
        <f>SUM(E6:E13)</f>
        <v>1</v>
      </c>
      <c r="F14" s="128"/>
      <c r="G14" s="242"/>
    </row>
    <row r="15" spans="2:7" ht="38.25" x14ac:dyDescent="0.25">
      <c r="B15" s="136" t="s">
        <v>86</v>
      </c>
      <c r="C15" s="125" t="s">
        <v>87</v>
      </c>
      <c r="D15" s="125" t="str">
        <f>"Cantidad "&amp;C15&amp;" 2009"</f>
        <v>Cantidad Libras 2009</v>
      </c>
      <c r="E15" s="125" t="str">
        <f>"Porcentaje "&amp;C15&amp;" 2009"</f>
        <v>Porcentaje Libras 2009</v>
      </c>
      <c r="F15" s="125" t="s">
        <v>692</v>
      </c>
      <c r="G15" s="137" t="str">
        <f>C15&amp;" por Servicio Final"</f>
        <v>Libras por Servicio Final</v>
      </c>
    </row>
    <row r="16" spans="2:7" x14ac:dyDescent="0.25">
      <c r="B16" s="133" t="s">
        <v>70</v>
      </c>
      <c r="C16" s="121"/>
      <c r="D16" s="130"/>
      <c r="E16" s="130"/>
      <c r="F16" s="130"/>
      <c r="G16" s="212"/>
    </row>
    <row r="17" spans="2:7" x14ac:dyDescent="0.25">
      <c r="B17" s="129" t="s">
        <v>41</v>
      </c>
      <c r="C17" s="121" t="s">
        <v>87</v>
      </c>
      <c r="D17" s="269">
        <v>21391</v>
      </c>
      <c r="E17" s="118">
        <f>IF(ISERROR(D17/$D$27),"",D17/$D$27)</f>
        <v>0.26827751064155331</v>
      </c>
      <c r="F17" s="130">
        <f>'5_Produccion_Desagregada_10_09'!C10</f>
        <v>1341</v>
      </c>
      <c r="G17" s="131">
        <f>IF(ISERROR(D17/F17),"",D17/F17)</f>
        <v>15.951528709917971</v>
      </c>
    </row>
    <row r="18" spans="2:7" x14ac:dyDescent="0.25">
      <c r="B18" s="129" t="s">
        <v>42</v>
      </c>
      <c r="C18" s="121" t="s">
        <v>87</v>
      </c>
      <c r="D18" s="269">
        <v>14318.6</v>
      </c>
      <c r="E18" s="118">
        <f>IF(ISERROR(D18/$D$27),"",D18/$D$27)</f>
        <v>0.17957825084718554</v>
      </c>
      <c r="F18" s="130">
        <f>'5_Produccion_Desagregada_10_09'!C11</f>
        <v>1026</v>
      </c>
      <c r="G18" s="131">
        <f>IF(ISERROR(D18/F18),"",D18/F18)</f>
        <v>13.955750487329436</v>
      </c>
    </row>
    <row r="19" spans="2:7" x14ac:dyDescent="0.25">
      <c r="B19" s="129" t="s">
        <v>43</v>
      </c>
      <c r="C19" s="121" t="s">
        <v>87</v>
      </c>
      <c r="D19" s="269">
        <v>15906</v>
      </c>
      <c r="E19" s="118">
        <f>IF(ISERROR(D19/$D$27),"",D19/$D$27)</f>
        <v>0.19948679745054215</v>
      </c>
      <c r="F19" s="130">
        <f>'5_Produccion_Desagregada_10_09'!C12</f>
        <v>423</v>
      </c>
      <c r="G19" s="131">
        <f>IF(ISERROR(D19/F19),"",D19/F19)</f>
        <v>37.602836879432623</v>
      </c>
    </row>
    <row r="20" spans="2:7" x14ac:dyDescent="0.25">
      <c r="B20" s="129" t="s">
        <v>44</v>
      </c>
      <c r="C20" s="121" t="s">
        <v>87</v>
      </c>
      <c r="D20" s="269">
        <v>16081</v>
      </c>
      <c r="E20" s="118">
        <f>IF(ISERROR(D20/$D$27),"",D20/$D$27)</f>
        <v>0.20168157863712866</v>
      </c>
      <c r="F20" s="130">
        <f>'5_Produccion_Desagregada_10_09'!C13</f>
        <v>1452</v>
      </c>
      <c r="G20" s="131">
        <f>IF(ISERROR(D20/F20),"",D20/F20)</f>
        <v>11.075068870523417</v>
      </c>
    </row>
    <row r="21" spans="2:7" x14ac:dyDescent="0.25">
      <c r="B21" s="129" t="s">
        <v>45</v>
      </c>
      <c r="C21" s="121" t="s">
        <v>87</v>
      </c>
      <c r="D21" s="269">
        <v>8707</v>
      </c>
      <c r="E21" s="118">
        <f t="shared" ref="E21:E26" si="2">IF(ISERROR(D21/$D$27),"",D21/$D$27)</f>
        <v>0.10919977023776377</v>
      </c>
      <c r="F21" s="130">
        <f>'5_Produccion_Desagregada_10_09'!C14</f>
        <v>1330</v>
      </c>
      <c r="G21" s="131" t="str">
        <f>IF(ISERROR(#REF!/F21),"",#REF!/F21)</f>
        <v/>
      </c>
    </row>
    <row r="22" spans="2:7" x14ac:dyDescent="0.25">
      <c r="B22" s="129" t="s">
        <v>46</v>
      </c>
      <c r="C22" s="121" t="s">
        <v>87</v>
      </c>
      <c r="D22" s="269">
        <v>3331</v>
      </c>
      <c r="E22" s="118">
        <f t="shared" si="2"/>
        <v>4.1776092185826473E-2</v>
      </c>
      <c r="F22" s="130">
        <f>'5_Produccion_Desagregada_10_09'!C15</f>
        <v>353</v>
      </c>
      <c r="G22" s="131" t="str">
        <f>IF(ISERROR(#REF!/F22),"",#REF!/F22)</f>
        <v/>
      </c>
    </row>
    <row r="23" spans="2:7" x14ac:dyDescent="0.25">
      <c r="B23" s="129" t="s">
        <v>47</v>
      </c>
      <c r="C23" s="121" t="s">
        <v>87</v>
      </c>
      <c r="D23" s="269"/>
      <c r="E23" s="118">
        <f t="shared" si="2"/>
        <v>0</v>
      </c>
      <c r="F23" s="130">
        <f>'5_Produccion_Desagregada_10_09'!C16</f>
        <v>0</v>
      </c>
      <c r="G23" s="131" t="str">
        <f>IF(ISERROR(#REF!/F23),"",#REF!/F23)</f>
        <v/>
      </c>
    </row>
    <row r="24" spans="2:7" x14ac:dyDescent="0.25">
      <c r="B24" s="129" t="s">
        <v>48</v>
      </c>
      <c r="C24" s="121" t="s">
        <v>87</v>
      </c>
      <c r="D24" s="269"/>
      <c r="E24" s="118">
        <f t="shared" si="2"/>
        <v>0</v>
      </c>
      <c r="F24" s="130">
        <f>'5_Produccion_Desagregada_10_09'!C17</f>
        <v>0</v>
      </c>
      <c r="G24" s="131" t="str">
        <f>IF(ISERROR(#REF!/F24),"",#REF!/F24)</f>
        <v/>
      </c>
    </row>
    <row r="25" spans="2:7" x14ac:dyDescent="0.25">
      <c r="B25" s="133" t="s">
        <v>71</v>
      </c>
      <c r="C25" s="121" t="s">
        <v>87</v>
      </c>
      <c r="D25" s="269"/>
      <c r="E25" s="118">
        <f t="shared" si="2"/>
        <v>0</v>
      </c>
      <c r="F25" s="130">
        <f>'5_Produccion_Desagregada_10_09'!C6</f>
        <v>32189</v>
      </c>
      <c r="G25" s="131" t="str">
        <f>IF(ISERROR(#REF!/F25),"",#REF!/F25)</f>
        <v/>
      </c>
    </row>
    <row r="26" spans="2:7" x14ac:dyDescent="0.25">
      <c r="B26" s="133" t="s">
        <v>72</v>
      </c>
      <c r="C26" s="121" t="s">
        <v>87</v>
      </c>
      <c r="D26" s="269"/>
      <c r="E26" s="118">
        <f t="shared" si="2"/>
        <v>0</v>
      </c>
      <c r="F26" s="130">
        <f>'5_Produccion_Desagregada_10_09'!C7</f>
        <v>20591</v>
      </c>
      <c r="G26" s="131" t="str">
        <f>IF(ISERROR(#REF!/F26),"",#REF!/F26)</f>
        <v/>
      </c>
    </row>
    <row r="27" spans="2:7" ht="21" customHeight="1" x14ac:dyDescent="0.25">
      <c r="B27" s="334" t="s">
        <v>33</v>
      </c>
      <c r="C27" s="335" t="s">
        <v>87</v>
      </c>
      <c r="D27" s="127">
        <f>SUM(D17:D26)</f>
        <v>79734.600000000006</v>
      </c>
      <c r="E27" s="598">
        <f>SUM(E17:E26)</f>
        <v>0.99999999999999978</v>
      </c>
      <c r="F27" s="128"/>
      <c r="G27" s="242"/>
    </row>
    <row r="28" spans="2:7" ht="38.25" x14ac:dyDescent="0.25">
      <c r="B28" s="136" t="s">
        <v>88</v>
      </c>
      <c r="C28" s="125" t="s">
        <v>89</v>
      </c>
      <c r="D28" s="125" t="str">
        <f>"Cantidad "&amp;C28&amp;" 2009"</f>
        <v>Cantidad # de órdenes 2009</v>
      </c>
      <c r="E28" s="125" t="str">
        <f>"Porcentaje "&amp;C28&amp;" 2009"</f>
        <v>Porcentaje # de órdenes 2009</v>
      </c>
      <c r="F28" s="125" t="s">
        <v>692</v>
      </c>
      <c r="G28" s="137" t="str">
        <f>C28&amp;" por Servicio Final"</f>
        <v># de órdenes por Servicio Final</v>
      </c>
    </row>
    <row r="29" spans="2:7" x14ac:dyDescent="0.25">
      <c r="B29" s="133" t="s">
        <v>70</v>
      </c>
      <c r="C29" s="121"/>
      <c r="D29" s="130"/>
      <c r="E29" s="130"/>
      <c r="F29" s="130"/>
      <c r="G29" s="212"/>
    </row>
    <row r="30" spans="2:7" x14ac:dyDescent="0.25">
      <c r="B30" s="129" t="s">
        <v>41</v>
      </c>
      <c r="C30" s="121" t="s">
        <v>89</v>
      </c>
      <c r="D30" s="269">
        <v>34</v>
      </c>
      <c r="E30" s="118">
        <f t="shared" ref="E30:E39" si="3">IF(ISERROR(D30/$D$40),"",D30/$D$40)</f>
        <v>0.22666666666666666</v>
      </c>
      <c r="F30" s="130">
        <f>'5_Produccion_Desagregada_10_09'!C10</f>
        <v>1341</v>
      </c>
      <c r="G30" s="131">
        <f>IF(ISERROR(D30/F30),"",D30/F30)</f>
        <v>2.535421327367636E-2</v>
      </c>
    </row>
    <row r="31" spans="2:7" x14ac:dyDescent="0.25">
      <c r="B31" s="129" t="s">
        <v>42</v>
      </c>
      <c r="C31" s="121" t="s">
        <v>89</v>
      </c>
      <c r="D31" s="269">
        <v>16</v>
      </c>
      <c r="E31" s="118">
        <f t="shared" si="3"/>
        <v>0.10666666666666667</v>
      </c>
      <c r="F31" s="130">
        <f>'5_Produccion_Desagregada_10_09'!C11</f>
        <v>1026</v>
      </c>
      <c r="G31" s="131">
        <f t="shared" ref="G31:G39" si="4">IF(ISERROR(D31/F31),"",D31/F31)</f>
        <v>1.5594541910331383E-2</v>
      </c>
    </row>
    <row r="32" spans="2:7" x14ac:dyDescent="0.25">
      <c r="B32" s="129" t="s">
        <v>43</v>
      </c>
      <c r="C32" s="121" t="s">
        <v>89</v>
      </c>
      <c r="D32" s="269">
        <v>9</v>
      </c>
      <c r="E32" s="118">
        <f t="shared" si="3"/>
        <v>0.06</v>
      </c>
      <c r="F32" s="130">
        <f>'5_Produccion_Desagregada_10_09'!C12</f>
        <v>423</v>
      </c>
      <c r="G32" s="131">
        <f t="shared" si="4"/>
        <v>2.1276595744680851E-2</v>
      </c>
    </row>
    <row r="33" spans="2:7" x14ac:dyDescent="0.25">
      <c r="B33" s="129" t="s">
        <v>44</v>
      </c>
      <c r="C33" s="121" t="s">
        <v>89</v>
      </c>
      <c r="D33" s="269">
        <v>15</v>
      </c>
      <c r="E33" s="118">
        <f t="shared" si="3"/>
        <v>0.1</v>
      </c>
      <c r="F33" s="130">
        <f>'5_Produccion_Desagregada_10_09'!C13</f>
        <v>1452</v>
      </c>
      <c r="G33" s="131">
        <f t="shared" si="4"/>
        <v>1.0330578512396695E-2</v>
      </c>
    </row>
    <row r="34" spans="2:7" x14ac:dyDescent="0.25">
      <c r="B34" s="129" t="s">
        <v>45</v>
      </c>
      <c r="C34" s="121" t="s">
        <v>89</v>
      </c>
      <c r="D34" s="269">
        <v>18</v>
      </c>
      <c r="E34" s="118">
        <f t="shared" si="3"/>
        <v>0.12</v>
      </c>
      <c r="F34" s="130">
        <f>'5_Produccion_Desagregada_10_09'!C14</f>
        <v>1330</v>
      </c>
      <c r="G34" s="131">
        <f>IF(ISERROR(D10/F34),"",D10/F34)</f>
        <v>7.5857142857142854</v>
      </c>
    </row>
    <row r="35" spans="2:7" x14ac:dyDescent="0.25">
      <c r="B35" s="129" t="s">
        <v>46</v>
      </c>
      <c r="C35" s="121" t="s">
        <v>89</v>
      </c>
      <c r="D35" s="269">
        <v>8</v>
      </c>
      <c r="E35" s="118">
        <f t="shared" si="3"/>
        <v>5.3333333333333337E-2</v>
      </c>
      <c r="F35" s="130">
        <f>'5_Produccion_Desagregada_10_09'!C15</f>
        <v>353</v>
      </c>
      <c r="G35" s="131">
        <f>IF(ISERROR(D11/F35),"",D11/F35)</f>
        <v>0.76487252124645888</v>
      </c>
    </row>
    <row r="36" spans="2:7" x14ac:dyDescent="0.25">
      <c r="B36" s="129" t="s">
        <v>47</v>
      </c>
      <c r="C36" s="121" t="s">
        <v>89</v>
      </c>
      <c r="D36" s="269">
        <v>0</v>
      </c>
      <c r="E36" s="118">
        <f t="shared" si="3"/>
        <v>0</v>
      </c>
      <c r="F36" s="130">
        <f>'5_Produccion_Desagregada_10_09'!C16</f>
        <v>0</v>
      </c>
      <c r="G36" s="131" t="str">
        <f t="shared" si="4"/>
        <v/>
      </c>
    </row>
    <row r="37" spans="2:7" x14ac:dyDescent="0.25">
      <c r="B37" s="129" t="s">
        <v>48</v>
      </c>
      <c r="C37" s="121" t="s">
        <v>89</v>
      </c>
      <c r="D37" s="269">
        <v>0</v>
      </c>
      <c r="E37" s="118">
        <f t="shared" si="3"/>
        <v>0</v>
      </c>
      <c r="F37" s="130">
        <f>'5_Produccion_Desagregada_10_09'!C17</f>
        <v>0</v>
      </c>
      <c r="G37" s="131" t="str">
        <f t="shared" si="4"/>
        <v/>
      </c>
    </row>
    <row r="38" spans="2:7" x14ac:dyDescent="0.25">
      <c r="B38" s="133" t="s">
        <v>71</v>
      </c>
      <c r="C38" s="121" t="s">
        <v>89</v>
      </c>
      <c r="D38" s="269">
        <v>30</v>
      </c>
      <c r="E38" s="118">
        <f t="shared" si="3"/>
        <v>0.2</v>
      </c>
      <c r="F38" s="130">
        <f>'5_Produccion_Desagregada_10_09'!C6</f>
        <v>32189</v>
      </c>
      <c r="G38" s="131">
        <f t="shared" si="4"/>
        <v>9.3199540215601598E-4</v>
      </c>
    </row>
    <row r="39" spans="2:7" x14ac:dyDescent="0.25">
      <c r="B39" s="133" t="s">
        <v>72</v>
      </c>
      <c r="C39" s="121" t="s">
        <v>89</v>
      </c>
      <c r="D39" s="269">
        <v>20</v>
      </c>
      <c r="E39" s="118">
        <f t="shared" si="3"/>
        <v>0.13333333333333333</v>
      </c>
      <c r="F39" s="130">
        <f>'5_Produccion_Desagregada_10_09'!C7</f>
        <v>20591</v>
      </c>
      <c r="G39" s="131">
        <f t="shared" si="4"/>
        <v>9.7129813996406193E-4</v>
      </c>
    </row>
    <row r="40" spans="2:7" ht="21" customHeight="1" x14ac:dyDescent="0.25">
      <c r="B40" s="334" t="s">
        <v>33</v>
      </c>
      <c r="C40" s="335" t="s">
        <v>89</v>
      </c>
      <c r="D40" s="127">
        <f>SUM(D30:D39)</f>
        <v>150</v>
      </c>
      <c r="E40" s="598">
        <f>SUM(E30:E39)</f>
        <v>1</v>
      </c>
      <c r="F40" s="128"/>
      <c r="G40" s="242"/>
    </row>
    <row r="41" spans="2:7" ht="38.25" x14ac:dyDescent="0.25">
      <c r="B41" s="136" t="s">
        <v>90</v>
      </c>
      <c r="C41" s="125" t="s">
        <v>89</v>
      </c>
      <c r="D41" s="125" t="str">
        <f>"Cantidad "&amp;C41&amp;" 2009"</f>
        <v>Cantidad # de órdenes 2009</v>
      </c>
      <c r="E41" s="125" t="str">
        <f>"Porcentaje "&amp;C41&amp;" 2009"</f>
        <v>Porcentaje # de órdenes 2009</v>
      </c>
      <c r="F41" s="125" t="s">
        <v>692</v>
      </c>
      <c r="G41" s="137" t="str">
        <f>C41&amp;" por Servicio Final"</f>
        <v># de órdenes por Servicio Final</v>
      </c>
    </row>
    <row r="42" spans="2:7" x14ac:dyDescent="0.25">
      <c r="B42" s="133" t="s">
        <v>70</v>
      </c>
      <c r="C42" s="121" t="s">
        <v>89</v>
      </c>
      <c r="D42" s="130"/>
      <c r="E42" s="130"/>
      <c r="F42" s="130"/>
      <c r="G42" s="212"/>
    </row>
    <row r="43" spans="2:7" x14ac:dyDescent="0.25">
      <c r="B43" s="129" t="s">
        <v>41</v>
      </c>
      <c r="C43" s="121" t="s">
        <v>89</v>
      </c>
      <c r="D43" s="269">
        <v>0</v>
      </c>
      <c r="E43" s="118" t="str">
        <f>IF(ISERROR(D43/$D$53),"",D43/$D$53)</f>
        <v/>
      </c>
      <c r="F43" s="130">
        <f>'5_Produccion_Desagregada_10_09'!C10</f>
        <v>1341</v>
      </c>
      <c r="G43" s="131">
        <f>IF(ISERROR(D43/F43),"",D43/F43)</f>
        <v>0</v>
      </c>
    </row>
    <row r="44" spans="2:7" x14ac:dyDescent="0.25">
      <c r="B44" s="129" t="s">
        <v>42</v>
      </c>
      <c r="C44" s="121" t="s">
        <v>89</v>
      </c>
      <c r="D44" s="269">
        <v>0</v>
      </c>
      <c r="E44" s="118" t="str">
        <f t="shared" ref="E44:E52" si="5">IF(ISERROR(D44/$D$53),"",D44/$D$53)</f>
        <v/>
      </c>
      <c r="F44" s="130">
        <f>'5_Produccion_Desagregada_10_09'!C11</f>
        <v>1026</v>
      </c>
      <c r="G44" s="131">
        <f>IF(ISERROR(D44/F44),"",D44/F44)</f>
        <v>0</v>
      </c>
    </row>
    <row r="45" spans="2:7" x14ac:dyDescent="0.25">
      <c r="B45" s="129" t="s">
        <v>43</v>
      </c>
      <c r="C45" s="121" t="s">
        <v>89</v>
      </c>
      <c r="D45" s="269">
        <v>0</v>
      </c>
      <c r="E45" s="118" t="str">
        <f t="shared" si="5"/>
        <v/>
      </c>
      <c r="F45" s="130">
        <f>'5_Produccion_Desagregada_10_09'!C12</f>
        <v>423</v>
      </c>
      <c r="G45" s="131">
        <f>IF(ISERROR(D45/F45),"",D45/F45)</f>
        <v>0</v>
      </c>
    </row>
    <row r="46" spans="2:7" x14ac:dyDescent="0.25">
      <c r="B46" s="129" t="s">
        <v>44</v>
      </c>
      <c r="C46" s="121" t="s">
        <v>89</v>
      </c>
      <c r="D46" s="269">
        <v>0</v>
      </c>
      <c r="E46" s="118" t="str">
        <f t="shared" si="5"/>
        <v/>
      </c>
      <c r="F46" s="130">
        <f>'5_Produccion_Desagregada_10_09'!C13</f>
        <v>1452</v>
      </c>
      <c r="G46" s="131">
        <f>IF(ISERROR(D46/F46),"",D46/F46)</f>
        <v>0</v>
      </c>
    </row>
    <row r="47" spans="2:7" x14ac:dyDescent="0.25">
      <c r="B47" s="129" t="s">
        <v>45</v>
      </c>
      <c r="C47" s="121" t="s">
        <v>89</v>
      </c>
      <c r="D47" s="269">
        <v>0</v>
      </c>
      <c r="E47" s="118" t="str">
        <f t="shared" si="5"/>
        <v/>
      </c>
      <c r="F47" s="130">
        <f>'5_Produccion_Desagregada_10_09'!C14</f>
        <v>1330</v>
      </c>
      <c r="G47" s="131">
        <f t="shared" ref="G47:G52" si="6">IF(ISERROR(D21/F47),"",D21/F47)</f>
        <v>6.5466165413533837</v>
      </c>
    </row>
    <row r="48" spans="2:7" x14ac:dyDescent="0.25">
      <c r="B48" s="129" t="s">
        <v>46</v>
      </c>
      <c r="C48" s="121" t="s">
        <v>89</v>
      </c>
      <c r="D48" s="269">
        <v>0</v>
      </c>
      <c r="E48" s="118" t="str">
        <f t="shared" si="5"/>
        <v/>
      </c>
      <c r="F48" s="130">
        <f>'5_Produccion_Desagregada_10_09'!C15</f>
        <v>353</v>
      </c>
      <c r="G48" s="131">
        <f t="shared" si="6"/>
        <v>9.4362606232294617</v>
      </c>
    </row>
    <row r="49" spans="2:7" x14ac:dyDescent="0.25">
      <c r="B49" s="129" t="s">
        <v>47</v>
      </c>
      <c r="C49" s="121" t="s">
        <v>89</v>
      </c>
      <c r="D49" s="269">
        <v>0</v>
      </c>
      <c r="E49" s="118" t="str">
        <f t="shared" si="5"/>
        <v/>
      </c>
      <c r="F49" s="130">
        <f>'5_Produccion_Desagregada_10_09'!C16</f>
        <v>0</v>
      </c>
      <c r="G49" s="131" t="str">
        <f t="shared" si="6"/>
        <v/>
      </c>
    </row>
    <row r="50" spans="2:7" x14ac:dyDescent="0.25">
      <c r="B50" s="129" t="s">
        <v>48</v>
      </c>
      <c r="C50" s="121" t="s">
        <v>89</v>
      </c>
      <c r="D50" s="269">
        <v>0</v>
      </c>
      <c r="E50" s="118" t="str">
        <f t="shared" si="5"/>
        <v/>
      </c>
      <c r="F50" s="130">
        <f>'5_Produccion_Desagregada_10_09'!C17</f>
        <v>0</v>
      </c>
      <c r="G50" s="131" t="str">
        <f t="shared" si="6"/>
        <v/>
      </c>
    </row>
    <row r="51" spans="2:7" x14ac:dyDescent="0.25">
      <c r="B51" s="133" t="s">
        <v>71</v>
      </c>
      <c r="C51" s="121" t="s">
        <v>89</v>
      </c>
      <c r="D51" s="269">
        <v>0</v>
      </c>
      <c r="E51" s="118" t="str">
        <f t="shared" si="5"/>
        <v/>
      </c>
      <c r="F51" s="130">
        <f>'5_Produccion_Desagregada_10_09'!C6</f>
        <v>32189</v>
      </c>
      <c r="G51" s="131">
        <f t="shared" si="6"/>
        <v>0</v>
      </c>
    </row>
    <row r="52" spans="2:7" x14ac:dyDescent="0.25">
      <c r="B52" s="133" t="s">
        <v>72</v>
      </c>
      <c r="C52" s="121" t="s">
        <v>89</v>
      </c>
      <c r="D52" s="269">
        <v>0</v>
      </c>
      <c r="E52" s="118" t="str">
        <f t="shared" si="5"/>
        <v/>
      </c>
      <c r="F52" s="130">
        <f>'5_Produccion_Desagregada_10_09'!C7</f>
        <v>20591</v>
      </c>
      <c r="G52" s="131">
        <f t="shared" si="6"/>
        <v>0</v>
      </c>
    </row>
    <row r="53" spans="2:7" ht="20.25" customHeight="1" x14ac:dyDescent="0.25">
      <c r="B53" s="334" t="s">
        <v>33</v>
      </c>
      <c r="C53" s="335" t="s">
        <v>89</v>
      </c>
      <c r="D53" s="127">
        <f>SUM(D43:D52)</f>
        <v>0</v>
      </c>
      <c r="E53" s="598">
        <f>SUM(E43:E52)</f>
        <v>0</v>
      </c>
      <c r="F53" s="128"/>
      <c r="G53" s="242"/>
    </row>
    <row r="54" spans="2:7" ht="38.25" x14ac:dyDescent="0.25">
      <c r="B54" s="136" t="s">
        <v>91</v>
      </c>
      <c r="C54" s="125" t="s">
        <v>92</v>
      </c>
      <c r="D54" s="125" t="str">
        <f>"Cantidad "&amp;C54&amp;" 2009"</f>
        <v>Cantidad Kilómetros 2009</v>
      </c>
      <c r="E54" s="125" t="str">
        <f>"Porcentaje "&amp;C54&amp;" 2009"</f>
        <v>Porcentaje Kilómetros 2009</v>
      </c>
      <c r="F54" s="125" t="s">
        <v>692</v>
      </c>
      <c r="G54" s="137" t="str">
        <f>C54&amp;" por Servicio Final"</f>
        <v>Kilómetros por Servicio Final</v>
      </c>
    </row>
    <row r="55" spans="2:7" x14ac:dyDescent="0.25">
      <c r="B55" s="133" t="s">
        <v>70</v>
      </c>
      <c r="C55" s="121" t="s">
        <v>92</v>
      </c>
      <c r="D55" s="130"/>
      <c r="E55" s="130"/>
      <c r="F55" s="130"/>
      <c r="G55" s="212"/>
    </row>
    <row r="56" spans="2:7" x14ac:dyDescent="0.25">
      <c r="B56" s="129" t="s">
        <v>41</v>
      </c>
      <c r="C56" s="121" t="s">
        <v>92</v>
      </c>
      <c r="D56" s="269">
        <v>32894</v>
      </c>
      <c r="E56" s="118">
        <f t="shared" ref="E56:E65" si="7">IF(ISERROR(D56/$D$66),"",D56/$D$66)</f>
        <v>0.52516124912191076</v>
      </c>
      <c r="F56" s="130">
        <f>'5_Produccion_Desagregada_10_09'!C10</f>
        <v>1341</v>
      </c>
      <c r="G56" s="131">
        <f>IF(ISERROR(D56/F56),"",D56/F56)</f>
        <v>24.529455630126773</v>
      </c>
    </row>
    <row r="57" spans="2:7" x14ac:dyDescent="0.25">
      <c r="B57" s="129" t="s">
        <v>42</v>
      </c>
      <c r="C57" s="121" t="s">
        <v>92</v>
      </c>
      <c r="D57" s="269">
        <v>10333</v>
      </c>
      <c r="E57" s="118">
        <f t="shared" si="7"/>
        <v>0.16496902739638547</v>
      </c>
      <c r="F57" s="130">
        <f>'5_Produccion_Desagregada_10_09'!C11</f>
        <v>1026</v>
      </c>
      <c r="G57" s="131">
        <f t="shared" ref="G57:G65" si="8">IF(ISERROR(D57/F57),"",D57/F57)</f>
        <v>10.071150097465887</v>
      </c>
    </row>
    <row r="58" spans="2:7" x14ac:dyDescent="0.25">
      <c r="B58" s="129" t="s">
        <v>43</v>
      </c>
      <c r="C58" s="121" t="s">
        <v>92</v>
      </c>
      <c r="D58" s="269">
        <v>1132</v>
      </c>
      <c r="E58" s="118">
        <f t="shared" si="7"/>
        <v>1.8072673861676991E-2</v>
      </c>
      <c r="F58" s="130">
        <f>'5_Produccion_Desagregada_10_09'!C12</f>
        <v>423</v>
      </c>
      <c r="G58" s="131">
        <f t="shared" si="8"/>
        <v>2.6761229314420802</v>
      </c>
    </row>
    <row r="59" spans="2:7" x14ac:dyDescent="0.25">
      <c r="B59" s="129" t="s">
        <v>44</v>
      </c>
      <c r="C59" s="121" t="s">
        <v>92</v>
      </c>
      <c r="D59" s="269">
        <v>5362</v>
      </c>
      <c r="E59" s="118">
        <f t="shared" si="7"/>
        <v>8.5605721949038885E-2</v>
      </c>
      <c r="F59" s="130">
        <f>'5_Produccion_Desagregada_10_09'!C13</f>
        <v>1452</v>
      </c>
      <c r="G59" s="131">
        <f t="shared" si="8"/>
        <v>3.6928374655647382</v>
      </c>
    </row>
    <row r="60" spans="2:7" x14ac:dyDescent="0.25">
      <c r="B60" s="129" t="s">
        <v>45</v>
      </c>
      <c r="C60" s="121" t="s">
        <v>92</v>
      </c>
      <c r="D60" s="269">
        <v>8717</v>
      </c>
      <c r="E60" s="118">
        <f t="shared" si="7"/>
        <v>0.13916916789066991</v>
      </c>
      <c r="F60" s="130">
        <f>'5_Produccion_Desagregada_10_09'!C14</f>
        <v>1330</v>
      </c>
      <c r="G60" s="131">
        <f t="shared" si="8"/>
        <v>6.5541353383458647</v>
      </c>
    </row>
    <row r="61" spans="2:7" x14ac:dyDescent="0.25">
      <c r="B61" s="129" t="s">
        <v>46</v>
      </c>
      <c r="C61" s="121" t="s">
        <v>92</v>
      </c>
      <c r="D61" s="269">
        <v>3654</v>
      </c>
      <c r="E61" s="118">
        <f t="shared" si="7"/>
        <v>5.8337058560572197E-2</v>
      </c>
      <c r="F61" s="130">
        <f>'5_Produccion_Desagregada_10_09'!C15</f>
        <v>353</v>
      </c>
      <c r="G61" s="131">
        <f t="shared" si="8"/>
        <v>10.351274787535411</v>
      </c>
    </row>
    <row r="62" spans="2:7" x14ac:dyDescent="0.25">
      <c r="B62" s="129" t="s">
        <v>47</v>
      </c>
      <c r="C62" s="121" t="s">
        <v>92</v>
      </c>
      <c r="D62" s="269">
        <v>0</v>
      </c>
      <c r="E62" s="118">
        <f t="shared" si="7"/>
        <v>0</v>
      </c>
      <c r="F62" s="130">
        <f>'5_Produccion_Desagregada_10_09'!C16</f>
        <v>0</v>
      </c>
      <c r="G62" s="131" t="str">
        <f t="shared" si="8"/>
        <v/>
      </c>
    </row>
    <row r="63" spans="2:7" x14ac:dyDescent="0.25">
      <c r="B63" s="129" t="s">
        <v>48</v>
      </c>
      <c r="C63" s="121" t="s">
        <v>92</v>
      </c>
      <c r="D63" s="269">
        <v>0</v>
      </c>
      <c r="E63" s="118">
        <f t="shared" si="7"/>
        <v>0</v>
      </c>
      <c r="F63" s="130">
        <f>'5_Produccion_Desagregada_10_09'!C17</f>
        <v>0</v>
      </c>
      <c r="G63" s="131" t="str">
        <f t="shared" si="8"/>
        <v/>
      </c>
    </row>
    <row r="64" spans="2:7" x14ac:dyDescent="0.25">
      <c r="B64" s="133" t="s">
        <v>71</v>
      </c>
      <c r="C64" s="121" t="s">
        <v>92</v>
      </c>
      <c r="D64" s="269">
        <v>0</v>
      </c>
      <c r="E64" s="118">
        <f t="shared" si="7"/>
        <v>0</v>
      </c>
      <c r="F64" s="130">
        <f>'5_Produccion_Desagregada_10_09'!C6</f>
        <v>32189</v>
      </c>
      <c r="G64" s="131">
        <f t="shared" si="8"/>
        <v>0</v>
      </c>
    </row>
    <row r="65" spans="2:7" x14ac:dyDescent="0.25">
      <c r="B65" s="133" t="s">
        <v>72</v>
      </c>
      <c r="C65" s="121" t="s">
        <v>92</v>
      </c>
      <c r="D65" s="269">
        <v>544</v>
      </c>
      <c r="E65" s="118">
        <f t="shared" si="7"/>
        <v>8.6851012197458333E-3</v>
      </c>
      <c r="F65" s="130">
        <f>'5_Produccion_Desagregada_10_09'!C7</f>
        <v>20591</v>
      </c>
      <c r="G65" s="131">
        <f t="shared" si="8"/>
        <v>2.6419309407022487E-2</v>
      </c>
    </row>
    <row r="66" spans="2:7" ht="21" customHeight="1" thickBot="1" x14ac:dyDescent="0.3">
      <c r="B66" s="336" t="s">
        <v>33</v>
      </c>
      <c r="C66" s="337"/>
      <c r="D66" s="333">
        <f>SUM(D56:D65)</f>
        <v>62636</v>
      </c>
      <c r="E66" s="599">
        <f>SUM(E56:E65)</f>
        <v>1</v>
      </c>
      <c r="F66" s="338"/>
      <c r="G66" s="339"/>
    </row>
    <row r="67" spans="2:7" x14ac:dyDescent="0.25">
      <c r="D67" s="132"/>
    </row>
    <row r="68" spans="2:7" x14ac:dyDescent="0.25">
      <c r="B68" s="122" t="s">
        <v>315</v>
      </c>
      <c r="D68" s="132"/>
    </row>
  </sheetData>
  <sheetProtection password="EADF" sheet="1" objects="1" scenarios="1"/>
  <mergeCells count="1">
    <mergeCell ref="F3:G3"/>
  </mergeCells>
  <phoneticPr fontId="60" type="noConversion"/>
  <pageMargins left="0.70866141732283472" right="0.70866141732283472" top="0.74803149606299213" bottom="0.74803149606299213" header="0.31496062992125984" footer="0.31496062992125984"/>
  <pageSetup orientation="landscape" r:id="rId1"/>
  <rowBreaks count="1" manualBreakCount="1">
    <brk id="27" max="16383"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70"/>
  <sheetViews>
    <sheetView view="pageBreakPreview" zoomScale="82" zoomScaleNormal="100" zoomScaleSheetLayoutView="82" workbookViewId="0">
      <selection activeCell="J35" sqref="J35"/>
    </sheetView>
  </sheetViews>
  <sheetFormatPr baseColWidth="10" defaultRowHeight="15" x14ac:dyDescent="0.25"/>
  <cols>
    <col min="1" max="1" width="2.5703125" style="880" customWidth="1"/>
    <col min="2" max="2" width="32" style="880" customWidth="1"/>
    <col min="3" max="5" width="11.42578125" style="880"/>
    <col min="6" max="6" width="11.42578125" style="880" customWidth="1"/>
    <col min="7" max="7" width="11.5703125" style="880" customWidth="1"/>
    <col min="8" max="9" width="11.42578125" style="880"/>
    <col min="10" max="10" width="14.85546875" style="880" customWidth="1"/>
    <col min="11" max="16384" width="11.42578125" style="880"/>
  </cols>
  <sheetData>
    <row r="1" spans="2:10" ht="15.75" x14ac:dyDescent="0.25">
      <c r="B1" s="561" t="s">
        <v>111</v>
      </c>
    </row>
    <row r="3" spans="2:10" s="601" customFormat="1" ht="13.5" thickBot="1" x14ac:dyDescent="0.3">
      <c r="B3" s="562" t="s">
        <v>651</v>
      </c>
      <c r="C3" s="600"/>
      <c r="D3" s="600"/>
    </row>
    <row r="4" spans="2:10" s="601" customFormat="1" ht="15.75" customHeight="1" thickBot="1" x14ac:dyDescent="0.3">
      <c r="B4" s="603"/>
      <c r="C4" s="1150" t="s">
        <v>99</v>
      </c>
      <c r="D4" s="1151"/>
      <c r="E4" s="1150" t="s">
        <v>112</v>
      </c>
      <c r="F4" s="1152"/>
      <c r="G4" s="1153" t="s">
        <v>656</v>
      </c>
      <c r="H4" s="1155" t="s">
        <v>657</v>
      </c>
      <c r="I4" s="1146" t="s">
        <v>574</v>
      </c>
    </row>
    <row r="5" spans="2:10" s="601" customFormat="1" ht="31.5" customHeight="1" x14ac:dyDescent="0.25">
      <c r="B5" s="644" t="s">
        <v>93</v>
      </c>
      <c r="C5" s="639" t="s">
        <v>94</v>
      </c>
      <c r="D5" s="640" t="s">
        <v>100</v>
      </c>
      <c r="E5" s="639" t="s">
        <v>94</v>
      </c>
      <c r="F5" s="645" t="s">
        <v>100</v>
      </c>
      <c r="G5" s="1154"/>
      <c r="H5" s="1156"/>
      <c r="I5" s="1147"/>
      <c r="J5" s="617"/>
    </row>
    <row r="6" spans="2:10" s="601" customFormat="1" ht="19.5" customHeight="1" x14ac:dyDescent="0.25">
      <c r="B6" s="641" t="s">
        <v>572</v>
      </c>
      <c r="C6" s="1012"/>
      <c r="D6" s="605"/>
      <c r="E6" s="1012"/>
      <c r="F6" s="1013"/>
      <c r="G6" s="1012"/>
      <c r="H6" s="1014"/>
      <c r="I6" s="605"/>
      <c r="J6" s="615"/>
    </row>
    <row r="7" spans="2:10" s="601" customFormat="1" ht="19.5" customHeight="1" x14ac:dyDescent="0.25">
      <c r="B7" s="642" t="s">
        <v>41</v>
      </c>
      <c r="C7" s="1065">
        <v>10</v>
      </c>
      <c r="D7" s="1015">
        <f>IF(ISERROR(C7/$C$15),"",C7/$C$15)</f>
        <v>0.2</v>
      </c>
      <c r="E7" s="1065">
        <v>10</v>
      </c>
      <c r="F7" s="1016">
        <f t="shared" ref="F7:F14" si="0">IF(ISERROR(E7/$E$15),"",E7/$E$15)</f>
        <v>0.2</v>
      </c>
      <c r="G7" s="1017">
        <f>C7*365</f>
        <v>3650</v>
      </c>
      <c r="H7" s="764">
        <f>E7*365</f>
        <v>3650</v>
      </c>
      <c r="I7" s="1015">
        <f t="shared" ref="I7:I14" si="1">IF(ISERROR(E7/C7),"",E7/C7-1)</f>
        <v>0</v>
      </c>
      <c r="J7" s="1018"/>
    </row>
    <row r="8" spans="2:10" s="601" customFormat="1" ht="19.5" customHeight="1" x14ac:dyDescent="0.25">
      <c r="B8" s="642" t="s">
        <v>42</v>
      </c>
      <c r="C8" s="1065">
        <v>10</v>
      </c>
      <c r="D8" s="1015">
        <f t="shared" ref="D8:D14" si="2">IF(ISERROR(C8/$C$15),"",C8/$C$15)</f>
        <v>0.2</v>
      </c>
      <c r="E8" s="1065">
        <v>10</v>
      </c>
      <c r="F8" s="1016">
        <f t="shared" si="0"/>
        <v>0.2</v>
      </c>
      <c r="G8" s="1017">
        <f t="shared" ref="G8:G14" si="3">C8*365</f>
        <v>3650</v>
      </c>
      <c r="H8" s="764">
        <f t="shared" ref="H8:H14" si="4">E8*365</f>
        <v>3650</v>
      </c>
      <c r="I8" s="1015">
        <f t="shared" si="1"/>
        <v>0</v>
      </c>
      <c r="J8" s="1018"/>
    </row>
    <row r="9" spans="2:10" s="601" customFormat="1" ht="19.5" customHeight="1" x14ac:dyDescent="0.25">
      <c r="B9" s="642" t="s">
        <v>43</v>
      </c>
      <c r="C9" s="1065">
        <v>4</v>
      </c>
      <c r="D9" s="1015">
        <f t="shared" si="2"/>
        <v>0.08</v>
      </c>
      <c r="E9" s="1065">
        <v>4</v>
      </c>
      <c r="F9" s="1016">
        <f t="shared" si="0"/>
        <v>0.08</v>
      </c>
      <c r="G9" s="1017">
        <f t="shared" si="3"/>
        <v>1460</v>
      </c>
      <c r="H9" s="764">
        <f t="shared" si="4"/>
        <v>1460</v>
      </c>
      <c r="I9" s="1015">
        <f t="shared" si="1"/>
        <v>0</v>
      </c>
      <c r="J9" s="1018"/>
    </row>
    <row r="10" spans="2:10" s="601" customFormat="1" ht="19.5" customHeight="1" x14ac:dyDescent="0.25">
      <c r="B10" s="642" t="s">
        <v>44</v>
      </c>
      <c r="C10" s="1065">
        <v>13</v>
      </c>
      <c r="D10" s="1015">
        <f t="shared" si="2"/>
        <v>0.26</v>
      </c>
      <c r="E10" s="1065">
        <v>13</v>
      </c>
      <c r="F10" s="1016">
        <f t="shared" si="0"/>
        <v>0.26</v>
      </c>
      <c r="G10" s="1017">
        <f t="shared" si="3"/>
        <v>4745</v>
      </c>
      <c r="H10" s="764">
        <f t="shared" si="4"/>
        <v>4745</v>
      </c>
      <c r="I10" s="1015">
        <f t="shared" si="1"/>
        <v>0</v>
      </c>
      <c r="J10" s="1018"/>
    </row>
    <row r="11" spans="2:10" s="601" customFormat="1" ht="19.5" customHeight="1" x14ac:dyDescent="0.25">
      <c r="B11" s="642" t="s">
        <v>45</v>
      </c>
      <c r="C11" s="1065">
        <v>10</v>
      </c>
      <c r="D11" s="1015">
        <f t="shared" si="2"/>
        <v>0.2</v>
      </c>
      <c r="E11" s="1065">
        <v>10</v>
      </c>
      <c r="F11" s="1016">
        <f t="shared" si="0"/>
        <v>0.2</v>
      </c>
      <c r="G11" s="1017">
        <f t="shared" si="3"/>
        <v>3650</v>
      </c>
      <c r="H11" s="764">
        <f t="shared" si="4"/>
        <v>3650</v>
      </c>
      <c r="I11" s="1015">
        <f t="shared" si="1"/>
        <v>0</v>
      </c>
      <c r="J11" s="1018"/>
    </row>
    <row r="12" spans="2:10" s="601" customFormat="1" ht="19.5" customHeight="1" x14ac:dyDescent="0.25">
      <c r="B12" s="642" t="s">
        <v>46</v>
      </c>
      <c r="C12" s="1065">
        <v>3</v>
      </c>
      <c r="D12" s="1015">
        <f t="shared" si="2"/>
        <v>0.06</v>
      </c>
      <c r="E12" s="1065">
        <v>3</v>
      </c>
      <c r="F12" s="1016">
        <f t="shared" si="0"/>
        <v>0.06</v>
      </c>
      <c r="G12" s="1017">
        <f t="shared" si="3"/>
        <v>1095</v>
      </c>
      <c r="H12" s="764">
        <f t="shared" si="4"/>
        <v>1095</v>
      </c>
      <c r="I12" s="1015">
        <f t="shared" si="1"/>
        <v>0</v>
      </c>
      <c r="J12" s="1018"/>
    </row>
    <row r="13" spans="2:10" s="601" customFormat="1" ht="19.5" customHeight="1" x14ac:dyDescent="0.25">
      <c r="B13" s="642" t="s">
        <v>47</v>
      </c>
      <c r="C13" s="1065">
        <v>0</v>
      </c>
      <c r="D13" s="1015">
        <f t="shared" si="2"/>
        <v>0</v>
      </c>
      <c r="E13" s="1065">
        <v>0</v>
      </c>
      <c r="F13" s="1016">
        <f t="shared" si="0"/>
        <v>0</v>
      </c>
      <c r="G13" s="1017">
        <f t="shared" si="3"/>
        <v>0</v>
      </c>
      <c r="H13" s="764">
        <f t="shared" si="4"/>
        <v>0</v>
      </c>
      <c r="I13" s="1015" t="str">
        <f t="shared" si="1"/>
        <v/>
      </c>
      <c r="J13" s="1018"/>
    </row>
    <row r="14" spans="2:10" s="601" customFormat="1" ht="19.5" customHeight="1" thickBot="1" x14ac:dyDescent="0.3">
      <c r="B14" s="643" t="s">
        <v>48</v>
      </c>
      <c r="C14" s="1065">
        <v>0</v>
      </c>
      <c r="D14" s="1019">
        <f t="shared" si="2"/>
        <v>0</v>
      </c>
      <c r="E14" s="1065">
        <v>0</v>
      </c>
      <c r="F14" s="1020">
        <f t="shared" si="0"/>
        <v>0</v>
      </c>
      <c r="G14" s="1017">
        <f t="shared" si="3"/>
        <v>0</v>
      </c>
      <c r="H14" s="764">
        <f t="shared" si="4"/>
        <v>0</v>
      </c>
      <c r="I14" s="1015" t="str">
        <f t="shared" si="1"/>
        <v/>
      </c>
      <c r="J14" s="1018"/>
    </row>
    <row r="15" spans="2:10" s="601" customFormat="1" ht="19.5" customHeight="1" thickBot="1" x14ac:dyDescent="0.3">
      <c r="B15" s="635" t="s">
        <v>573</v>
      </c>
      <c r="C15" s="636">
        <f>SUM(C7:C14)</f>
        <v>50</v>
      </c>
      <c r="D15" s="1021">
        <f>SUM(D7:D14)</f>
        <v>1</v>
      </c>
      <c r="E15" s="636">
        <f>SUM(E7:E14)</f>
        <v>50</v>
      </c>
      <c r="F15" s="1022">
        <f>SUM(F7:F14)</f>
        <v>1</v>
      </c>
      <c r="G15" s="1023"/>
      <c r="H15" s="1024"/>
      <c r="I15" s="1025"/>
      <c r="J15" s="615"/>
    </row>
    <row r="16" spans="2:10" s="601" customFormat="1" ht="19.5" customHeight="1" x14ac:dyDescent="0.25">
      <c r="B16" s="632" t="s">
        <v>575</v>
      </c>
      <c r="C16" s="633"/>
      <c r="D16" s="634"/>
      <c r="E16" s="633"/>
      <c r="F16" s="638"/>
      <c r="G16" s="1017"/>
      <c r="H16" s="764"/>
      <c r="I16" s="605"/>
    </row>
    <row r="17" spans="2:14" s="601" customFormat="1" ht="19.5" customHeight="1" x14ac:dyDescent="0.25">
      <c r="B17" s="621" t="s">
        <v>95</v>
      </c>
      <c r="C17" s="1066">
        <v>4</v>
      </c>
      <c r="D17" s="1015">
        <f>IF(ISERROR(C17/$C$21),"",C17/$C$21)</f>
        <v>0.44444444444444442</v>
      </c>
      <c r="E17" s="1066">
        <v>4</v>
      </c>
      <c r="F17" s="1016">
        <f>IF(ISERROR(E17/$E$21),"",E17/$E$21)</f>
        <v>0.44444444444444442</v>
      </c>
      <c r="G17" s="1017">
        <f>C17*365</f>
        <v>1460</v>
      </c>
      <c r="H17" s="764">
        <f>E17*365</f>
        <v>1460</v>
      </c>
      <c r="I17" s="1015">
        <f>IF(ISERROR(E17/C17),"",E17/C17-1)</f>
        <v>0</v>
      </c>
    </row>
    <row r="18" spans="2:14" s="601" customFormat="1" ht="19.5" customHeight="1" x14ac:dyDescent="0.25">
      <c r="B18" s="621" t="s">
        <v>96</v>
      </c>
      <c r="C18" s="1066">
        <v>0</v>
      </c>
      <c r="D18" s="1015">
        <f>IF(ISERROR(C18/$C$21),"",C18/$C$21)</f>
        <v>0</v>
      </c>
      <c r="E18" s="1066">
        <v>0</v>
      </c>
      <c r="F18" s="1016">
        <f>IF(ISERROR(E18/$E$21),"",E18/$E$21)</f>
        <v>0</v>
      </c>
      <c r="G18" s="1017">
        <f>C18*365</f>
        <v>0</v>
      </c>
      <c r="H18" s="764">
        <f>E18*365</f>
        <v>0</v>
      </c>
      <c r="I18" s="1015" t="str">
        <f>IF(ISERROR(E18/C18),"",E18/C18-1)</f>
        <v/>
      </c>
    </row>
    <row r="19" spans="2:14" s="601" customFormat="1" ht="19.5" customHeight="1" x14ac:dyDescent="0.25">
      <c r="B19" s="621" t="s">
        <v>97</v>
      </c>
      <c r="C19" s="1066">
        <v>0</v>
      </c>
      <c r="D19" s="1015">
        <f>IF(ISERROR(C19/$C$21),"",C19/$C$21)</f>
        <v>0</v>
      </c>
      <c r="E19" s="1066">
        <v>0</v>
      </c>
      <c r="F19" s="1016">
        <f>IF(ISERROR(E19/$E$21),"",E19/$E$21)</f>
        <v>0</v>
      </c>
      <c r="G19" s="1017">
        <f>C19*365</f>
        <v>0</v>
      </c>
      <c r="H19" s="764">
        <f>E19*365</f>
        <v>0</v>
      </c>
      <c r="I19" s="1015" t="str">
        <f>IF(ISERROR(E19/C19),"",E19/C19-1)</f>
        <v/>
      </c>
    </row>
    <row r="20" spans="2:14" s="601" customFormat="1" ht="19.5" customHeight="1" thickBot="1" x14ac:dyDescent="0.3">
      <c r="B20" s="637" t="s">
        <v>98</v>
      </c>
      <c r="C20" s="1066">
        <v>5</v>
      </c>
      <c r="D20" s="1019">
        <f>IF(ISERROR(C20/$C$21),"",C20/$C$21)</f>
        <v>0.55555555555555558</v>
      </c>
      <c r="E20" s="1066">
        <v>5</v>
      </c>
      <c r="F20" s="1020">
        <f>IF(ISERROR(E20/$E$21),"",E20/$E$21)</f>
        <v>0.55555555555555558</v>
      </c>
      <c r="G20" s="1017">
        <f>C20*365</f>
        <v>1825</v>
      </c>
      <c r="H20" s="764">
        <f>E20*365</f>
        <v>1825</v>
      </c>
      <c r="I20" s="1015">
        <f>IF(ISERROR(E20/C20),"",E20/C20-1)</f>
        <v>0</v>
      </c>
    </row>
    <row r="21" spans="2:14" s="601" customFormat="1" ht="19.5" customHeight="1" thickBot="1" x14ac:dyDescent="0.3">
      <c r="B21" s="635" t="s">
        <v>600</v>
      </c>
      <c r="C21" s="636">
        <f>SUM(C17:C20)</f>
        <v>9</v>
      </c>
      <c r="D21" s="1021">
        <f>SUM(D17:D20)</f>
        <v>1</v>
      </c>
      <c r="E21" s="636">
        <f>SUM(E17:E20)</f>
        <v>9</v>
      </c>
      <c r="F21" s="1022">
        <f>SUM(F17:F20)</f>
        <v>1</v>
      </c>
      <c r="G21" s="1026"/>
      <c r="H21" s="1027"/>
      <c r="I21" s="1028"/>
    </row>
    <row r="22" spans="2:14" s="601" customFormat="1" ht="12.75" x14ac:dyDescent="0.25"/>
    <row r="23" spans="2:14" s="601" customFormat="1" ht="12.75" x14ac:dyDescent="0.25"/>
    <row r="24" spans="2:14" s="601" customFormat="1" ht="13.5" thickBot="1" x14ac:dyDescent="0.3">
      <c r="B24" s="562" t="s">
        <v>110</v>
      </c>
      <c r="M24" s="1148"/>
      <c r="N24" s="1148"/>
    </row>
    <row r="25" spans="2:14" s="601" customFormat="1" ht="15.75" customHeight="1" thickBot="1" x14ac:dyDescent="0.3">
      <c r="C25" s="1160" t="s">
        <v>99</v>
      </c>
      <c r="D25" s="1161"/>
      <c r="E25" s="1161"/>
      <c r="F25" s="1161"/>
      <c r="G25" s="1162"/>
      <c r="H25" s="1160" t="s">
        <v>112</v>
      </c>
      <c r="I25" s="1161"/>
      <c r="J25" s="1161"/>
      <c r="K25" s="1161"/>
      <c r="L25" s="1162"/>
      <c r="M25" s="1149"/>
      <c r="N25" s="1149"/>
    </row>
    <row r="26" spans="2:14" s="601" customFormat="1" ht="76.5" x14ac:dyDescent="0.25">
      <c r="B26" s="629" t="s">
        <v>101</v>
      </c>
      <c r="C26" s="365" t="s">
        <v>102</v>
      </c>
      <c r="D26" s="366" t="s">
        <v>103</v>
      </c>
      <c r="E26" s="366" t="s">
        <v>104</v>
      </c>
      <c r="F26" s="366" t="s">
        <v>597</v>
      </c>
      <c r="G26" s="606" t="s">
        <v>598</v>
      </c>
      <c r="H26" s="366" t="s">
        <v>102</v>
      </c>
      <c r="I26" s="366" t="s">
        <v>103</v>
      </c>
      <c r="J26" s="366" t="s">
        <v>104</v>
      </c>
      <c r="K26" s="366" t="s">
        <v>597</v>
      </c>
      <c r="L26" s="606" t="s">
        <v>598</v>
      </c>
      <c r="M26" s="1149"/>
      <c r="N26" s="1149"/>
    </row>
    <row r="27" spans="2:14" s="601" customFormat="1" ht="20.25" customHeight="1" x14ac:dyDescent="0.25">
      <c r="B27" s="630" t="s">
        <v>105</v>
      </c>
      <c r="C27" s="1067">
        <v>2</v>
      </c>
      <c r="D27" s="261">
        <v>1</v>
      </c>
      <c r="E27" s="607">
        <f>IF(ISERROR(D27/C27),"",D27/C27)</f>
        <v>0.5</v>
      </c>
      <c r="F27" s="261">
        <v>3</v>
      </c>
      <c r="G27" s="1068">
        <v>24</v>
      </c>
      <c r="H27" s="261">
        <v>2</v>
      </c>
      <c r="I27" s="261">
        <v>2</v>
      </c>
      <c r="J27" s="607">
        <f>IF(ISERROR(I27/H27),"",I27/H27)</f>
        <v>1</v>
      </c>
      <c r="K27" s="261">
        <v>16</v>
      </c>
      <c r="L27" s="1068">
        <v>24</v>
      </c>
      <c r="M27" s="1018"/>
      <c r="N27" s="615"/>
    </row>
    <row r="28" spans="2:14" s="601" customFormat="1" ht="20.25" customHeight="1" x14ac:dyDescent="0.25">
      <c r="B28" s="630" t="s">
        <v>106</v>
      </c>
      <c r="C28" s="1067">
        <v>1</v>
      </c>
      <c r="D28" s="261">
        <v>1</v>
      </c>
      <c r="E28" s="607">
        <f>IF(ISERROR(D28/C28),"",D28/C28)</f>
        <v>1</v>
      </c>
      <c r="F28" s="261">
        <v>8</v>
      </c>
      <c r="G28" s="1068">
        <v>24</v>
      </c>
      <c r="H28" s="261">
        <v>1</v>
      </c>
      <c r="I28" s="261">
        <v>1</v>
      </c>
      <c r="J28" s="607">
        <f>IF(ISERROR(I28/H28),"",I28/H28)</f>
        <v>1</v>
      </c>
      <c r="K28" s="261">
        <v>8</v>
      </c>
      <c r="L28" s="1068">
        <v>24</v>
      </c>
      <c r="M28" s="615"/>
      <c r="N28" s="615"/>
    </row>
    <row r="29" spans="2:14" s="601" customFormat="1" ht="20.25" customHeight="1" x14ac:dyDescent="0.25">
      <c r="B29" s="630" t="s">
        <v>107</v>
      </c>
      <c r="C29" s="1067">
        <v>0</v>
      </c>
      <c r="D29" s="261">
        <v>0</v>
      </c>
      <c r="E29" s="607" t="str">
        <f>IF(ISERROR(D29/C29),"",D29/C29)</f>
        <v/>
      </c>
      <c r="F29" s="261"/>
      <c r="G29" s="1068"/>
      <c r="H29" s="261">
        <v>0</v>
      </c>
      <c r="I29" s="261">
        <v>0</v>
      </c>
      <c r="J29" s="607" t="str">
        <f>IF(ISERROR(I29/H29),"",I29/H29)</f>
        <v/>
      </c>
      <c r="K29" s="261">
        <v>0</v>
      </c>
      <c r="L29" s="1068">
        <v>0</v>
      </c>
      <c r="M29" s="615"/>
      <c r="N29" s="615"/>
    </row>
    <row r="30" spans="2:14" s="601" customFormat="1" ht="20.25" customHeight="1" thickBot="1" x14ac:dyDescent="0.3">
      <c r="B30" s="631" t="s">
        <v>108</v>
      </c>
      <c r="C30" s="608">
        <f>SUM(C27:C29)</f>
        <v>3</v>
      </c>
      <c r="D30" s="609">
        <f>SUM(D27:D29)</f>
        <v>2</v>
      </c>
      <c r="E30" s="610">
        <f>IF(ISERROR(D30/C30),"",D30/C30)</f>
        <v>0.66666666666666663</v>
      </c>
      <c r="F30" s="609">
        <f>SUM(F27:F29)</f>
        <v>11</v>
      </c>
      <c r="G30" s="611">
        <f>SUM(G27:G29)</f>
        <v>48</v>
      </c>
      <c r="H30" s="609">
        <f>SUM(H27:H29)</f>
        <v>3</v>
      </c>
      <c r="I30" s="609">
        <f>SUM(I27:I29)</f>
        <v>3</v>
      </c>
      <c r="J30" s="610">
        <f>IF(ISERROR(I30/H30),"",I30/H30)</f>
        <v>1</v>
      </c>
      <c r="K30" s="609">
        <f>SUM(K27:K29)</f>
        <v>24</v>
      </c>
      <c r="L30" s="611">
        <f>SUM(L27:L29)</f>
        <v>48</v>
      </c>
      <c r="M30" s="615"/>
      <c r="N30" s="615"/>
    </row>
    <row r="31" spans="2:14" s="601" customFormat="1" ht="12.75" x14ac:dyDescent="0.25"/>
    <row r="32" spans="2:14" s="601" customFormat="1" ht="13.5" thickBot="1" x14ac:dyDescent="0.3">
      <c r="B32" s="562" t="s">
        <v>109</v>
      </c>
      <c r="C32" s="612"/>
      <c r="D32" s="613"/>
      <c r="E32" s="614"/>
      <c r="F32" s="615"/>
    </row>
    <row r="33" spans="2:12" s="601" customFormat="1" ht="15" customHeight="1" thickBot="1" x14ac:dyDescent="0.3">
      <c r="B33" s="563"/>
      <c r="C33" s="1157" t="s">
        <v>99</v>
      </c>
      <c r="D33" s="1158"/>
      <c r="E33" s="1158"/>
      <c r="F33" s="1158"/>
      <c r="G33" s="1157" t="s">
        <v>112</v>
      </c>
      <c r="H33" s="1158"/>
      <c r="I33" s="1158"/>
      <c r="J33" s="1159"/>
      <c r="K33" s="1163" t="s">
        <v>678</v>
      </c>
      <c r="L33" s="1165" t="s">
        <v>679</v>
      </c>
    </row>
    <row r="34" spans="2:12" s="601" customFormat="1" ht="65.25" customHeight="1" thickBot="1" x14ac:dyDescent="0.3">
      <c r="B34" s="625" t="s">
        <v>101</v>
      </c>
      <c r="C34" s="619" t="s">
        <v>102</v>
      </c>
      <c r="D34" s="618" t="s">
        <v>103</v>
      </c>
      <c r="E34" s="618" t="s">
        <v>104</v>
      </c>
      <c r="F34" s="622" t="s">
        <v>599</v>
      </c>
      <c r="G34" s="619" t="s">
        <v>102</v>
      </c>
      <c r="H34" s="618" t="s">
        <v>103</v>
      </c>
      <c r="I34" s="618" t="s">
        <v>104</v>
      </c>
      <c r="J34" s="623" t="s">
        <v>599</v>
      </c>
      <c r="K34" s="1164"/>
      <c r="L34" s="1166"/>
    </row>
    <row r="35" spans="2:12" s="601" customFormat="1" ht="36" customHeight="1" thickBot="1" x14ac:dyDescent="0.3">
      <c r="B35" s="626" t="s">
        <v>669</v>
      </c>
      <c r="C35" s="1069">
        <v>14</v>
      </c>
      <c r="D35" s="1069">
        <v>14</v>
      </c>
      <c r="E35" s="610">
        <f>IF(ISERROR(D35/C35),"",D35/C35)</f>
        <v>1</v>
      </c>
      <c r="F35" s="627">
        <v>25</v>
      </c>
      <c r="G35" s="624">
        <v>14</v>
      </c>
      <c r="H35" s="616">
        <v>14</v>
      </c>
      <c r="I35" s="610">
        <f>IF(ISERROR(H35/G35),"",H35/G35)</f>
        <v>1</v>
      </c>
      <c r="J35" s="628">
        <v>39</v>
      </c>
      <c r="K35" s="1029">
        <f>IF(ISERROR(F35/D35),"",F35/D35)</f>
        <v>1.7857142857142858</v>
      </c>
      <c r="L35" s="1030">
        <f>IF(ISERROR(J35/H35),"",J35/H35)</f>
        <v>2.7857142857142856</v>
      </c>
    </row>
    <row r="36" spans="2:12" s="601" customFormat="1" ht="12.75" x14ac:dyDescent="0.25"/>
    <row r="37" spans="2:12" s="601" customFormat="1" ht="12.75" x14ac:dyDescent="0.25"/>
    <row r="38" spans="2:12" s="601" customFormat="1" ht="12.75" x14ac:dyDescent="0.25"/>
    <row r="39" spans="2:12" s="601" customFormat="1" ht="12.75" x14ac:dyDescent="0.25"/>
    <row r="40" spans="2:12" s="601" customFormat="1" ht="12.75" x14ac:dyDescent="0.25"/>
    <row r="41" spans="2:12" s="601" customFormat="1" ht="12.75" x14ac:dyDescent="0.25"/>
    <row r="42" spans="2:12" s="601" customFormat="1" ht="12.75" x14ac:dyDescent="0.25"/>
    <row r="43" spans="2:12" s="601" customFormat="1" ht="12.75" x14ac:dyDescent="0.25"/>
    <row r="44" spans="2:12" s="601" customFormat="1" ht="12.75" x14ac:dyDescent="0.25"/>
    <row r="45" spans="2:12" s="601" customFormat="1" ht="12.75" x14ac:dyDescent="0.25"/>
    <row r="46" spans="2:12" s="601" customFormat="1" ht="12.75" x14ac:dyDescent="0.25"/>
    <row r="47" spans="2:12" s="601" customFormat="1" ht="12.75" x14ac:dyDescent="0.25"/>
    <row r="48" spans="2:12" s="601" customFormat="1" ht="12.75" x14ac:dyDescent="0.25"/>
    <row r="49" s="601" customFormat="1" ht="12.75" x14ac:dyDescent="0.25"/>
    <row r="50" s="601" customFormat="1" ht="12.75" x14ac:dyDescent="0.25"/>
    <row r="51" s="601" customFormat="1" ht="12.75" x14ac:dyDescent="0.25"/>
    <row r="52" s="601" customFormat="1" ht="12.75" x14ac:dyDescent="0.25"/>
    <row r="53" s="601" customFormat="1" ht="12.75" x14ac:dyDescent="0.25"/>
    <row r="54" s="601" customFormat="1" ht="12.75" x14ac:dyDescent="0.25"/>
    <row r="55" s="601" customFormat="1" ht="12.75" x14ac:dyDescent="0.25"/>
    <row r="56" s="601" customFormat="1" ht="12.75" x14ac:dyDescent="0.25"/>
    <row r="57" s="601" customFormat="1" ht="12.75" x14ac:dyDescent="0.25"/>
    <row r="58" s="601" customFormat="1" ht="12.75" x14ac:dyDescent="0.25"/>
    <row r="59" s="601" customFormat="1" ht="12.75" x14ac:dyDescent="0.25"/>
    <row r="60" s="601" customFormat="1" ht="12.75" x14ac:dyDescent="0.25"/>
    <row r="61" s="601" customFormat="1" ht="12.75" x14ac:dyDescent="0.25"/>
    <row r="62" s="601" customFormat="1" ht="12.75" x14ac:dyDescent="0.25"/>
    <row r="63" s="601" customFormat="1" ht="12.75" x14ac:dyDescent="0.25"/>
    <row r="64" s="601" customFormat="1" ht="12.75" x14ac:dyDescent="0.25"/>
    <row r="65" s="601" customFormat="1" ht="12.75" x14ac:dyDescent="0.25"/>
    <row r="66" s="601" customFormat="1" ht="12.75" x14ac:dyDescent="0.25"/>
    <row r="67" s="601" customFormat="1" ht="12.75" x14ac:dyDescent="0.25"/>
    <row r="68" s="601" customFormat="1" ht="12.75" x14ac:dyDescent="0.25"/>
    <row r="69" s="601" customFormat="1" ht="12.75" x14ac:dyDescent="0.25"/>
    <row r="70" s="601" customFormat="1" ht="12.75" x14ac:dyDescent="0.25"/>
  </sheetData>
  <sheetProtection password="EADF" sheet="1" objects="1" scenarios="1"/>
  <mergeCells count="14">
    <mergeCell ref="C33:F33"/>
    <mergeCell ref="G33:J33"/>
    <mergeCell ref="C25:G25"/>
    <mergeCell ref="H25:L25"/>
    <mergeCell ref="K33:K34"/>
    <mergeCell ref="L33:L34"/>
    <mergeCell ref="I4:I5"/>
    <mergeCell ref="M24:N24"/>
    <mergeCell ref="M25:M26"/>
    <mergeCell ref="N25:N26"/>
    <mergeCell ref="C4:D4"/>
    <mergeCell ref="E4:F4"/>
    <mergeCell ref="G4:G5"/>
    <mergeCell ref="H4:H5"/>
  </mergeCells>
  <phoneticPr fontId="60" type="noConversion"/>
  <pageMargins left="0.70866141732283472" right="0.70866141732283472" top="0.74803149606299213" bottom="0.74803149606299213" header="0.31496062992125984" footer="0.31496062992125984"/>
  <pageSetup scale="69" orientation="landscape" r:id="rId1"/>
  <rowBreaks count="1" manualBreakCount="1">
    <brk id="23" max="16383" man="1"/>
  </row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19"/>
  <sheetViews>
    <sheetView view="pageBreakPreview" zoomScale="69" zoomScaleNormal="100" zoomScaleSheetLayoutView="69" workbookViewId="0">
      <selection activeCell="A30" sqref="A30"/>
    </sheetView>
  </sheetViews>
  <sheetFormatPr baseColWidth="10" defaultRowHeight="15" x14ac:dyDescent="0.25"/>
  <cols>
    <col min="1" max="1" width="3.140625" style="785" customWidth="1"/>
    <col min="2" max="2" width="46.42578125" style="785" customWidth="1"/>
    <col min="3" max="9" width="11.42578125" style="785"/>
    <col min="10" max="10" width="2.5703125" style="785" customWidth="1"/>
    <col min="11" max="16384" width="11.42578125" style="785"/>
  </cols>
  <sheetData>
    <row r="1" spans="2:16" ht="15.75" x14ac:dyDescent="0.25">
      <c r="B1" s="1173" t="s">
        <v>144</v>
      </c>
      <c r="C1" s="1173"/>
      <c r="D1" s="1173"/>
      <c r="E1" s="1173"/>
      <c r="F1" s="1173"/>
      <c r="G1" s="1173"/>
      <c r="H1" s="1173"/>
      <c r="I1" s="1173"/>
    </row>
    <row r="2" spans="2:16" ht="15.75" thickBot="1" x14ac:dyDescent="0.3"/>
    <row r="3" spans="2:16" ht="15.75" thickBot="1" x14ac:dyDescent="0.3">
      <c r="B3" s="143"/>
      <c r="C3" s="1167" t="s">
        <v>113</v>
      </c>
      <c r="D3" s="1168"/>
      <c r="E3" s="1168"/>
      <c r="F3" s="1168"/>
      <c r="G3" s="1168"/>
      <c r="H3" s="1168"/>
      <c r="I3" s="1169"/>
      <c r="J3" s="817"/>
      <c r="K3" s="1170" t="s">
        <v>137</v>
      </c>
      <c r="L3" s="1171"/>
      <c r="M3" s="1171"/>
      <c r="N3" s="1171"/>
      <c r="O3" s="1171"/>
      <c r="P3" s="1172"/>
    </row>
    <row r="4" spans="2:16" ht="39" thickBot="1" x14ac:dyDescent="0.3">
      <c r="B4" s="646" t="s">
        <v>601</v>
      </c>
      <c r="C4" s="647" t="s">
        <v>115</v>
      </c>
      <c r="D4" s="647" t="s">
        <v>116</v>
      </c>
      <c r="E4" s="647" t="s">
        <v>117</v>
      </c>
      <c r="F4" s="647" t="s">
        <v>118</v>
      </c>
      <c r="G4" s="647" t="s">
        <v>119</v>
      </c>
      <c r="H4" s="647" t="s">
        <v>120</v>
      </c>
      <c r="I4" s="648" t="s">
        <v>121</v>
      </c>
      <c r="J4" s="817"/>
      <c r="K4" s="217" t="s">
        <v>138</v>
      </c>
      <c r="L4" s="218" t="s">
        <v>139</v>
      </c>
      <c r="M4" s="219" t="s">
        <v>140</v>
      </c>
      <c r="N4" s="220" t="s">
        <v>141</v>
      </c>
      <c r="O4" s="221" t="s">
        <v>142</v>
      </c>
      <c r="P4" s="222" t="s">
        <v>143</v>
      </c>
    </row>
    <row r="5" spans="2:16" s="786" customFormat="1" ht="21" customHeight="1" thickTop="1" x14ac:dyDescent="0.25">
      <c r="B5" s="652" t="s">
        <v>576</v>
      </c>
      <c r="C5" s="1070">
        <v>13</v>
      </c>
      <c r="D5" s="1070">
        <v>76</v>
      </c>
      <c r="E5" s="1071">
        <v>9</v>
      </c>
      <c r="F5" s="1071">
        <v>70</v>
      </c>
      <c r="G5" s="821">
        <f>SUM(C5,E5)</f>
        <v>22</v>
      </c>
      <c r="H5" s="821">
        <f>SUM(D5,F5)</f>
        <v>146</v>
      </c>
      <c r="I5" s="653">
        <f>IF(ISERROR(H5*'13_Normas_Programacion'!$C$11),"",H5*'13_Normas_Programacion'!$C$11)</f>
        <v>53290</v>
      </c>
      <c r="J5" s="818"/>
      <c r="K5" s="823">
        <f>IF(ISERROR(C5/$C$19),"",C5/$C$19)</f>
        <v>9.154929577464789E-2</v>
      </c>
      <c r="L5" s="824">
        <f>IF(ISERROR(D5/$D$19),"",D5/$D$19)</f>
        <v>6.9724770642201839E-2</v>
      </c>
      <c r="M5" s="825">
        <f>IF(ISERROR(D5/C5),"",D5/C5)</f>
        <v>5.8461538461538458</v>
      </c>
      <c r="N5" s="826">
        <f>IF(ISERROR(G5/$G$19),"",G5/$G$19)</f>
        <v>0.11956521739130435</v>
      </c>
      <c r="O5" s="827">
        <f>IF(ISERROR(H5/$H$19),"",H5/$H$19)</f>
        <v>0.10252808988764045</v>
      </c>
      <c r="P5" s="828">
        <f>IF(ISERROR(H5/G5),"",H5/G5)</f>
        <v>6.6363636363636367</v>
      </c>
    </row>
    <row r="6" spans="2:16" s="786" customFormat="1" ht="21" customHeight="1" x14ac:dyDescent="0.25">
      <c r="B6" s="145" t="s">
        <v>126</v>
      </c>
      <c r="C6" s="1072">
        <v>5</v>
      </c>
      <c r="D6" s="1072">
        <v>28</v>
      </c>
      <c r="E6" s="1073">
        <v>2</v>
      </c>
      <c r="F6" s="1073">
        <v>16</v>
      </c>
      <c r="G6" s="604">
        <f t="shared" ref="G6:H17" si="0">SUM(C6,E6)</f>
        <v>7</v>
      </c>
      <c r="H6" s="604">
        <f t="shared" si="0"/>
        <v>44</v>
      </c>
      <c r="I6" s="216">
        <f>IF(ISERROR(H6*'13_Normas_Programacion'!$C$11),"",H6*'13_Normas_Programacion'!$C$11)</f>
        <v>16060</v>
      </c>
      <c r="J6" s="818"/>
      <c r="K6" s="829">
        <f t="shared" ref="K6:K18" si="1">IF(ISERROR(C6/$C$19),"",C6/$C$19)</f>
        <v>3.5211267605633804E-2</v>
      </c>
      <c r="L6" s="830">
        <f t="shared" ref="L6:L18" si="2">IF(ISERROR(D6/$D$19),"",D6/$D$19)</f>
        <v>2.5688073394495414E-2</v>
      </c>
      <c r="M6" s="831">
        <f t="shared" ref="M6:M18" si="3">IF(ISERROR(D6/C6),"",D6/C6)</f>
        <v>5.6</v>
      </c>
      <c r="N6" s="832">
        <f t="shared" ref="N6:N18" si="4">IF(ISERROR(G6/$G$19),"",G6/$G$19)</f>
        <v>3.8043478260869568E-2</v>
      </c>
      <c r="O6" s="833">
        <f t="shared" ref="O6:O18" si="5">IF(ISERROR(H6/$H$19),"",H6/$H$19)</f>
        <v>3.0898876404494381E-2</v>
      </c>
      <c r="P6" s="834">
        <f t="shared" ref="P6:P18" si="6">IF(ISERROR(H6/G6),"",H6/G6)</f>
        <v>6.2857142857142856</v>
      </c>
    </row>
    <row r="7" spans="2:16" s="786" customFormat="1" ht="21" customHeight="1" x14ac:dyDescent="0.25">
      <c r="B7" s="145" t="s">
        <v>127</v>
      </c>
      <c r="C7" s="1072">
        <v>4</v>
      </c>
      <c r="D7" s="1072">
        <v>32</v>
      </c>
      <c r="E7" s="1073">
        <v>4</v>
      </c>
      <c r="F7" s="1073">
        <v>32</v>
      </c>
      <c r="G7" s="604">
        <f t="shared" si="0"/>
        <v>8</v>
      </c>
      <c r="H7" s="604">
        <f t="shared" si="0"/>
        <v>64</v>
      </c>
      <c r="I7" s="216">
        <f>IF(ISERROR(H7*'13_Normas_Programacion'!$C$11),"",H7*'13_Normas_Programacion'!$C$11)</f>
        <v>23360</v>
      </c>
      <c r="J7" s="818"/>
      <c r="K7" s="829">
        <f t="shared" si="1"/>
        <v>2.8169014084507043E-2</v>
      </c>
      <c r="L7" s="830">
        <f t="shared" si="2"/>
        <v>2.9357798165137616E-2</v>
      </c>
      <c r="M7" s="831">
        <f t="shared" si="3"/>
        <v>8</v>
      </c>
      <c r="N7" s="832">
        <f t="shared" si="4"/>
        <v>4.3478260869565216E-2</v>
      </c>
      <c r="O7" s="833">
        <f t="shared" si="5"/>
        <v>4.49438202247191E-2</v>
      </c>
      <c r="P7" s="834">
        <f t="shared" si="6"/>
        <v>8</v>
      </c>
    </row>
    <row r="8" spans="2:16" s="786" customFormat="1" ht="21" customHeight="1" x14ac:dyDescent="0.25">
      <c r="B8" s="145" t="s">
        <v>128</v>
      </c>
      <c r="C8" s="1072">
        <v>2</v>
      </c>
      <c r="D8" s="1072">
        <v>10</v>
      </c>
      <c r="E8" s="1073"/>
      <c r="F8" s="1073"/>
      <c r="G8" s="604">
        <f t="shared" si="0"/>
        <v>2</v>
      </c>
      <c r="H8" s="604">
        <f t="shared" si="0"/>
        <v>10</v>
      </c>
      <c r="I8" s="216">
        <f>IF(ISERROR(H8*'13_Normas_Programacion'!$C$11),"",H8*'13_Normas_Programacion'!$C$11)</f>
        <v>3650</v>
      </c>
      <c r="J8" s="818"/>
      <c r="K8" s="829">
        <f t="shared" si="1"/>
        <v>1.4084507042253521E-2</v>
      </c>
      <c r="L8" s="830">
        <f t="shared" si="2"/>
        <v>9.1743119266055051E-3</v>
      </c>
      <c r="M8" s="831">
        <f t="shared" si="3"/>
        <v>5</v>
      </c>
      <c r="N8" s="832">
        <f t="shared" si="4"/>
        <v>1.0869565217391304E-2</v>
      </c>
      <c r="O8" s="833">
        <f t="shared" si="5"/>
        <v>7.0224719101123594E-3</v>
      </c>
      <c r="P8" s="834">
        <f t="shared" si="6"/>
        <v>5</v>
      </c>
    </row>
    <row r="9" spans="2:16" s="786" customFormat="1" ht="21" customHeight="1" x14ac:dyDescent="0.25">
      <c r="B9" s="145" t="s">
        <v>129</v>
      </c>
      <c r="C9" s="1072">
        <v>15</v>
      </c>
      <c r="D9" s="1072">
        <v>120</v>
      </c>
      <c r="E9" s="1073">
        <v>7</v>
      </c>
      <c r="F9" s="1073">
        <v>56</v>
      </c>
      <c r="G9" s="604">
        <f t="shared" si="0"/>
        <v>22</v>
      </c>
      <c r="H9" s="604">
        <f t="shared" si="0"/>
        <v>176</v>
      </c>
      <c r="I9" s="216">
        <f>IF(ISERROR(H9*'13_Normas_Programacion'!$C$11),"",H9*'13_Normas_Programacion'!$C$11)</f>
        <v>64240</v>
      </c>
      <c r="J9" s="818"/>
      <c r="K9" s="829">
        <f t="shared" si="1"/>
        <v>0.10563380281690141</v>
      </c>
      <c r="L9" s="830">
        <f t="shared" si="2"/>
        <v>0.11009174311926606</v>
      </c>
      <c r="M9" s="831">
        <f t="shared" si="3"/>
        <v>8</v>
      </c>
      <c r="N9" s="832">
        <f t="shared" si="4"/>
        <v>0.11956521739130435</v>
      </c>
      <c r="O9" s="833">
        <f t="shared" si="5"/>
        <v>0.12359550561797752</v>
      </c>
      <c r="P9" s="834">
        <f t="shared" si="6"/>
        <v>8</v>
      </c>
    </row>
    <row r="10" spans="2:16" s="786" customFormat="1" ht="21" customHeight="1" x14ac:dyDescent="0.25">
      <c r="B10" s="145" t="s">
        <v>130</v>
      </c>
      <c r="C10" s="1072">
        <v>22</v>
      </c>
      <c r="D10" s="1072">
        <v>176</v>
      </c>
      <c r="E10" s="1073">
        <v>4</v>
      </c>
      <c r="F10" s="1073">
        <v>32</v>
      </c>
      <c r="G10" s="604">
        <f t="shared" si="0"/>
        <v>26</v>
      </c>
      <c r="H10" s="604">
        <f t="shared" si="0"/>
        <v>208</v>
      </c>
      <c r="I10" s="216">
        <f>IF(ISERROR(H10*'13_Normas_Programacion'!$C$11),"",H10*'13_Normas_Programacion'!$C$11)</f>
        <v>75920</v>
      </c>
      <c r="J10" s="818"/>
      <c r="K10" s="829">
        <f t="shared" si="1"/>
        <v>0.15492957746478872</v>
      </c>
      <c r="L10" s="830">
        <f t="shared" si="2"/>
        <v>0.16146788990825689</v>
      </c>
      <c r="M10" s="831">
        <f t="shared" si="3"/>
        <v>8</v>
      </c>
      <c r="N10" s="832">
        <f t="shared" si="4"/>
        <v>0.14130434782608695</v>
      </c>
      <c r="O10" s="833">
        <f t="shared" si="5"/>
        <v>0.14606741573033707</v>
      </c>
      <c r="P10" s="834">
        <f t="shared" si="6"/>
        <v>8</v>
      </c>
    </row>
    <row r="11" spans="2:16" s="786" customFormat="1" ht="21" customHeight="1" x14ac:dyDescent="0.25">
      <c r="B11" s="145" t="s">
        <v>131</v>
      </c>
      <c r="C11" s="1072">
        <v>6</v>
      </c>
      <c r="D11" s="1072">
        <v>48</v>
      </c>
      <c r="E11" s="1073">
        <v>2</v>
      </c>
      <c r="F11" s="1073">
        <v>16</v>
      </c>
      <c r="G11" s="604">
        <f t="shared" si="0"/>
        <v>8</v>
      </c>
      <c r="H11" s="604">
        <f t="shared" si="0"/>
        <v>64</v>
      </c>
      <c r="I11" s="216">
        <f>IF(ISERROR(H11*'13_Normas_Programacion'!$C$11),"",H11*'13_Normas_Programacion'!$C$11)</f>
        <v>23360</v>
      </c>
      <c r="J11" s="818"/>
      <c r="K11" s="829">
        <f t="shared" si="1"/>
        <v>4.2253521126760563E-2</v>
      </c>
      <c r="L11" s="830">
        <f t="shared" si="2"/>
        <v>4.4036697247706424E-2</v>
      </c>
      <c r="M11" s="831">
        <f t="shared" si="3"/>
        <v>8</v>
      </c>
      <c r="N11" s="832">
        <f t="shared" si="4"/>
        <v>4.3478260869565216E-2</v>
      </c>
      <c r="O11" s="833">
        <f t="shared" si="5"/>
        <v>4.49438202247191E-2</v>
      </c>
      <c r="P11" s="834">
        <f t="shared" si="6"/>
        <v>8</v>
      </c>
    </row>
    <row r="12" spans="2:16" s="786" customFormat="1" ht="21" customHeight="1" x14ac:dyDescent="0.25">
      <c r="B12" s="145" t="s">
        <v>132</v>
      </c>
      <c r="C12" s="1072">
        <v>3</v>
      </c>
      <c r="D12" s="1072">
        <v>24</v>
      </c>
      <c r="E12" s="1073">
        <v>2</v>
      </c>
      <c r="F12" s="1073">
        <v>16</v>
      </c>
      <c r="G12" s="604">
        <f t="shared" si="0"/>
        <v>5</v>
      </c>
      <c r="H12" s="604">
        <f t="shared" si="0"/>
        <v>40</v>
      </c>
      <c r="I12" s="216">
        <f>IF(ISERROR(H12*'13_Normas_Programacion'!$C$11),"",H12*'13_Normas_Programacion'!$C$11)</f>
        <v>14600</v>
      </c>
      <c r="J12" s="818"/>
      <c r="K12" s="829">
        <f t="shared" si="1"/>
        <v>2.1126760563380281E-2</v>
      </c>
      <c r="L12" s="830">
        <f t="shared" si="2"/>
        <v>2.2018348623853212E-2</v>
      </c>
      <c r="M12" s="831">
        <f t="shared" si="3"/>
        <v>8</v>
      </c>
      <c r="N12" s="832">
        <f t="shared" si="4"/>
        <v>2.717391304347826E-2</v>
      </c>
      <c r="O12" s="833">
        <f t="shared" si="5"/>
        <v>2.8089887640449437E-2</v>
      </c>
      <c r="P12" s="834">
        <f t="shared" si="6"/>
        <v>8</v>
      </c>
    </row>
    <row r="13" spans="2:16" s="786" customFormat="1" ht="21" customHeight="1" x14ac:dyDescent="0.25">
      <c r="B13" s="145" t="s">
        <v>133</v>
      </c>
      <c r="C13" s="1072">
        <v>5</v>
      </c>
      <c r="D13" s="1072">
        <v>40</v>
      </c>
      <c r="E13" s="1073">
        <v>1</v>
      </c>
      <c r="F13" s="1073">
        <v>8</v>
      </c>
      <c r="G13" s="604">
        <f t="shared" si="0"/>
        <v>6</v>
      </c>
      <c r="H13" s="604">
        <f t="shared" si="0"/>
        <v>48</v>
      </c>
      <c r="I13" s="216">
        <f>IF(ISERROR(H13*'13_Normas_Programacion'!$C$11),"",H13*'13_Normas_Programacion'!$C$11)</f>
        <v>17520</v>
      </c>
      <c r="J13" s="818"/>
      <c r="K13" s="829">
        <f t="shared" si="1"/>
        <v>3.5211267605633804E-2</v>
      </c>
      <c r="L13" s="830">
        <f t="shared" si="2"/>
        <v>3.669724770642202E-2</v>
      </c>
      <c r="M13" s="831">
        <f t="shared" si="3"/>
        <v>8</v>
      </c>
      <c r="N13" s="832">
        <f t="shared" si="4"/>
        <v>3.2608695652173912E-2</v>
      </c>
      <c r="O13" s="833">
        <f t="shared" si="5"/>
        <v>3.3707865168539325E-2</v>
      </c>
      <c r="P13" s="834">
        <f t="shared" si="6"/>
        <v>8</v>
      </c>
    </row>
    <row r="14" spans="2:16" s="786" customFormat="1" ht="21" customHeight="1" x14ac:dyDescent="0.25">
      <c r="B14" s="145" t="s">
        <v>134</v>
      </c>
      <c r="C14" s="1072">
        <v>3</v>
      </c>
      <c r="D14" s="1072">
        <v>24</v>
      </c>
      <c r="E14" s="1073"/>
      <c r="F14" s="1073"/>
      <c r="G14" s="604">
        <f t="shared" si="0"/>
        <v>3</v>
      </c>
      <c r="H14" s="604">
        <f t="shared" si="0"/>
        <v>24</v>
      </c>
      <c r="I14" s="216">
        <f>IF(ISERROR(H14*'13_Normas_Programacion'!$C$11),"",H14*'13_Normas_Programacion'!$C$11)</f>
        <v>8760</v>
      </c>
      <c r="J14" s="818"/>
      <c r="K14" s="829">
        <f t="shared" si="1"/>
        <v>2.1126760563380281E-2</v>
      </c>
      <c r="L14" s="830">
        <f t="shared" si="2"/>
        <v>2.2018348623853212E-2</v>
      </c>
      <c r="M14" s="831">
        <f t="shared" si="3"/>
        <v>8</v>
      </c>
      <c r="N14" s="832">
        <f t="shared" si="4"/>
        <v>1.6304347826086956E-2</v>
      </c>
      <c r="O14" s="833">
        <f t="shared" si="5"/>
        <v>1.6853932584269662E-2</v>
      </c>
      <c r="P14" s="834">
        <f t="shared" si="6"/>
        <v>8</v>
      </c>
    </row>
    <row r="15" spans="2:16" s="786" customFormat="1" ht="21" customHeight="1" x14ac:dyDescent="0.25">
      <c r="B15" s="145" t="s">
        <v>135</v>
      </c>
      <c r="C15" s="1072"/>
      <c r="D15" s="1072"/>
      <c r="E15" s="1073"/>
      <c r="F15" s="1073"/>
      <c r="G15" s="604">
        <f t="shared" si="0"/>
        <v>0</v>
      </c>
      <c r="H15" s="604">
        <f t="shared" si="0"/>
        <v>0</v>
      </c>
      <c r="I15" s="216">
        <f>IF(ISERROR(H15*'13_Normas_Programacion'!$C$11),"",H15*'13_Normas_Programacion'!$C$11)</f>
        <v>0</v>
      </c>
      <c r="J15" s="818"/>
      <c r="K15" s="829">
        <f t="shared" si="1"/>
        <v>0</v>
      </c>
      <c r="L15" s="830">
        <f t="shared" si="2"/>
        <v>0</v>
      </c>
      <c r="M15" s="831" t="str">
        <f t="shared" si="3"/>
        <v/>
      </c>
      <c r="N15" s="832">
        <f t="shared" si="4"/>
        <v>0</v>
      </c>
      <c r="O15" s="833">
        <f t="shared" si="5"/>
        <v>0</v>
      </c>
      <c r="P15" s="834" t="str">
        <f t="shared" si="6"/>
        <v/>
      </c>
    </row>
    <row r="16" spans="2:16" s="786" customFormat="1" ht="21" customHeight="1" x14ac:dyDescent="0.25">
      <c r="B16" s="145" t="s">
        <v>652</v>
      </c>
      <c r="C16" s="1072">
        <v>3</v>
      </c>
      <c r="D16" s="1072">
        <v>24</v>
      </c>
      <c r="E16" s="1073"/>
      <c r="F16" s="1073"/>
      <c r="G16" s="604">
        <f t="shared" si="0"/>
        <v>3</v>
      </c>
      <c r="H16" s="604">
        <f t="shared" si="0"/>
        <v>24</v>
      </c>
      <c r="I16" s="216">
        <f>IF(ISERROR(H16*'13_Normas_Programacion'!$C$11),"",H16*'13_Normas_Programacion'!$C$11)</f>
        <v>8760</v>
      </c>
      <c r="J16" s="818"/>
      <c r="K16" s="829">
        <f t="shared" si="1"/>
        <v>2.1126760563380281E-2</v>
      </c>
      <c r="L16" s="830">
        <f t="shared" si="2"/>
        <v>2.2018348623853212E-2</v>
      </c>
      <c r="M16" s="831">
        <f t="shared" si="3"/>
        <v>8</v>
      </c>
      <c r="N16" s="832">
        <f t="shared" si="4"/>
        <v>1.6304347826086956E-2</v>
      </c>
      <c r="O16" s="833">
        <f t="shared" si="5"/>
        <v>1.6853932584269662E-2</v>
      </c>
      <c r="P16" s="834">
        <f t="shared" si="6"/>
        <v>8</v>
      </c>
    </row>
    <row r="17" spans="2:16" s="786" customFormat="1" ht="21" customHeight="1" x14ac:dyDescent="0.25">
      <c r="B17" s="145" t="s">
        <v>136</v>
      </c>
      <c r="C17" s="1072">
        <v>6</v>
      </c>
      <c r="D17" s="1072">
        <v>48</v>
      </c>
      <c r="E17" s="1073"/>
      <c r="F17" s="1073"/>
      <c r="G17" s="604">
        <f t="shared" si="0"/>
        <v>6</v>
      </c>
      <c r="H17" s="604">
        <f t="shared" si="0"/>
        <v>48</v>
      </c>
      <c r="I17" s="216">
        <f>IF(ISERROR(H17*'13_Normas_Programacion'!$C$11),"",H17*'13_Normas_Programacion'!$C$11)</f>
        <v>17520</v>
      </c>
      <c r="J17" s="818"/>
      <c r="K17" s="829">
        <f t="shared" si="1"/>
        <v>4.2253521126760563E-2</v>
      </c>
      <c r="L17" s="830">
        <f t="shared" si="2"/>
        <v>4.4036697247706424E-2</v>
      </c>
      <c r="M17" s="831">
        <f t="shared" si="3"/>
        <v>8</v>
      </c>
      <c r="N17" s="832">
        <f t="shared" si="4"/>
        <v>3.2608695652173912E-2</v>
      </c>
      <c r="O17" s="833">
        <f t="shared" si="5"/>
        <v>3.3707865168539325E-2</v>
      </c>
      <c r="P17" s="834">
        <f t="shared" si="6"/>
        <v>8</v>
      </c>
    </row>
    <row r="18" spans="2:16" s="786" customFormat="1" ht="21" customHeight="1" thickBot="1" x14ac:dyDescent="0.3">
      <c r="B18" s="819" t="s">
        <v>577</v>
      </c>
      <c r="C18" s="1074">
        <v>55</v>
      </c>
      <c r="D18" s="1074">
        <v>440</v>
      </c>
      <c r="E18" s="1075">
        <v>11</v>
      </c>
      <c r="F18" s="1075">
        <v>88</v>
      </c>
      <c r="G18" s="822">
        <f>SUM(C18,E18)</f>
        <v>66</v>
      </c>
      <c r="H18" s="822">
        <f>SUM(D18,F18)</f>
        <v>528</v>
      </c>
      <c r="I18" s="654">
        <f>IF(ISERROR(H18*'13_Normas_Programacion'!$C$11),"",H18*'13_Normas_Programacion'!$C$11)</f>
        <v>192720</v>
      </c>
      <c r="J18" s="818"/>
      <c r="K18" s="835">
        <f t="shared" si="1"/>
        <v>0.38732394366197181</v>
      </c>
      <c r="L18" s="836">
        <f t="shared" si="2"/>
        <v>0.40366972477064222</v>
      </c>
      <c r="M18" s="837">
        <f t="shared" si="3"/>
        <v>8</v>
      </c>
      <c r="N18" s="838">
        <f t="shared" si="4"/>
        <v>0.35869565217391303</v>
      </c>
      <c r="O18" s="839">
        <f t="shared" si="5"/>
        <v>0.3707865168539326</v>
      </c>
      <c r="P18" s="840">
        <f t="shared" si="6"/>
        <v>8</v>
      </c>
    </row>
    <row r="19" spans="2:16" ht="21" customHeight="1" thickBot="1" x14ac:dyDescent="0.3">
      <c r="B19" s="649" t="s">
        <v>33</v>
      </c>
      <c r="C19" s="650">
        <f t="shared" ref="C19:I19" si="7">SUM(C5:C18)</f>
        <v>142</v>
      </c>
      <c r="D19" s="650">
        <f t="shared" si="7"/>
        <v>1090</v>
      </c>
      <c r="E19" s="650">
        <f t="shared" si="7"/>
        <v>42</v>
      </c>
      <c r="F19" s="650">
        <f t="shared" si="7"/>
        <v>334</v>
      </c>
      <c r="G19" s="650">
        <f t="shared" si="7"/>
        <v>184</v>
      </c>
      <c r="H19" s="650">
        <f t="shared" si="7"/>
        <v>1424</v>
      </c>
      <c r="I19" s="651">
        <f t="shared" si="7"/>
        <v>519760</v>
      </c>
      <c r="J19" s="820"/>
      <c r="K19" s="213">
        <f>SUM(K5:K18)</f>
        <v>0.99999999999999978</v>
      </c>
      <c r="L19" s="214">
        <f>SUM(L5:L18)</f>
        <v>1</v>
      </c>
      <c r="M19" s="215"/>
      <c r="N19" s="213">
        <f>SUM(N5:N18)</f>
        <v>1</v>
      </c>
      <c r="O19" s="214">
        <f>SUM(O5:O18)</f>
        <v>1</v>
      </c>
      <c r="P19" s="215"/>
    </row>
  </sheetData>
  <sheetProtection password="EADF" sheet="1" objects="1" scenarios="1"/>
  <mergeCells count="3">
    <mergeCell ref="C3:I3"/>
    <mergeCell ref="K3:P3"/>
    <mergeCell ref="B1:I1"/>
  </mergeCells>
  <phoneticPr fontId="60" type="noConversion"/>
  <pageMargins left="0.70866141732283472" right="0.70866141732283472" top="0.74803149606299213" bottom="0.74803149606299213" header="0.31496062992125984" footer="0.31496062992125984"/>
  <pageSetup scale="94" orientation="landscape" r:id="rId1"/>
  <colBreaks count="1" manualBreakCount="1">
    <brk id="9" max="1048575"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83"/>
  <sheetViews>
    <sheetView view="pageBreakPreview" zoomScale="76" zoomScaleNormal="75" zoomScaleSheetLayoutView="76" workbookViewId="0">
      <selection activeCell="H17" sqref="H17"/>
    </sheetView>
  </sheetViews>
  <sheetFormatPr baseColWidth="10" defaultRowHeight="15" x14ac:dyDescent="0.25"/>
  <cols>
    <col min="1" max="1" width="2.85546875" style="880" customWidth="1"/>
    <col min="2" max="2" width="28" style="880" customWidth="1"/>
    <col min="3" max="4" width="11.42578125" style="880"/>
    <col min="5" max="5" width="12.140625" style="880" customWidth="1"/>
    <col min="6" max="7" width="11.42578125" style="880"/>
    <col min="8" max="8" width="12.140625" style="880" customWidth="1"/>
    <col min="9" max="13" width="11.42578125" style="880"/>
    <col min="14" max="14" width="14.85546875" style="880" customWidth="1"/>
    <col min="15" max="15" width="15.85546875" style="880" customWidth="1"/>
    <col min="16" max="16384" width="11.42578125" style="880"/>
  </cols>
  <sheetData>
    <row r="1" spans="2:15" x14ac:dyDescent="0.25">
      <c r="B1" s="596" t="s">
        <v>658</v>
      </c>
      <c r="D1" s="881"/>
      <c r="E1" s="882"/>
      <c r="F1" s="883"/>
      <c r="G1" s="883"/>
      <c r="H1" s="883"/>
      <c r="I1" s="883"/>
      <c r="J1" s="883"/>
      <c r="K1" s="883"/>
    </row>
    <row r="2" spans="2:15" ht="5.25" customHeight="1" thickBot="1" x14ac:dyDescent="0.3">
      <c r="B2" s="596"/>
      <c r="D2" s="881"/>
      <c r="E2" s="882"/>
      <c r="F2" s="883"/>
      <c r="G2" s="883"/>
      <c r="H2" s="883"/>
      <c r="I2" s="883"/>
      <c r="J2" s="883"/>
      <c r="K2" s="883"/>
    </row>
    <row r="3" spans="2:15" ht="39" thickBot="1" x14ac:dyDescent="0.3">
      <c r="B3" s="596"/>
      <c r="C3" s="884" t="s">
        <v>145</v>
      </c>
      <c r="D3" s="885">
        <v>22</v>
      </c>
      <c r="E3" s="1174" t="s">
        <v>146</v>
      </c>
      <c r="F3" s="1175"/>
      <c r="G3" s="1175"/>
      <c r="H3" s="1175"/>
      <c r="I3" s="1175"/>
      <c r="J3" s="1175"/>
      <c r="K3" s="1175"/>
      <c r="L3" s="1176"/>
      <c r="N3" s="1177" t="s">
        <v>147</v>
      </c>
      <c r="O3" s="1178"/>
    </row>
    <row r="4" spans="2:15" x14ac:dyDescent="0.25">
      <c r="B4" s="1179" t="s">
        <v>148</v>
      </c>
      <c r="C4" s="1181" t="s">
        <v>680</v>
      </c>
      <c r="D4" s="1183" t="s">
        <v>150</v>
      </c>
      <c r="E4" s="886"/>
      <c r="F4" s="1185" t="s">
        <v>151</v>
      </c>
      <c r="G4" s="1185"/>
      <c r="H4" s="1185"/>
      <c r="I4" s="1185"/>
      <c r="J4" s="1185"/>
      <c r="K4" s="1185"/>
      <c r="L4" s="1165"/>
      <c r="M4" s="887"/>
      <c r="N4" s="888"/>
      <c r="O4" s="889"/>
    </row>
    <row r="5" spans="2:15" ht="24.75" thickBot="1" x14ac:dyDescent="0.3">
      <c r="B5" s="1180"/>
      <c r="C5" s="1182" t="s">
        <v>149</v>
      </c>
      <c r="D5" s="1184" t="s">
        <v>149</v>
      </c>
      <c r="E5" s="890" t="s">
        <v>152</v>
      </c>
      <c r="F5" s="891" t="s">
        <v>71</v>
      </c>
      <c r="G5" s="891" t="s">
        <v>72</v>
      </c>
      <c r="H5" s="891" t="s">
        <v>70</v>
      </c>
      <c r="I5" s="891" t="s">
        <v>153</v>
      </c>
      <c r="J5" s="891" t="s">
        <v>154</v>
      </c>
      <c r="K5" s="891" t="s">
        <v>58</v>
      </c>
      <c r="L5" s="892" t="s">
        <v>155</v>
      </c>
      <c r="M5" s="893" t="s">
        <v>156</v>
      </c>
      <c r="N5" s="893" t="s">
        <v>157</v>
      </c>
      <c r="O5" s="894" t="s">
        <v>158</v>
      </c>
    </row>
    <row r="6" spans="2:15" x14ac:dyDescent="0.25">
      <c r="B6" s="165" t="s">
        <v>71</v>
      </c>
      <c r="C6" s="895"/>
      <c r="D6" s="896"/>
      <c r="E6" s="897"/>
      <c r="F6" s="898"/>
      <c r="G6" s="898"/>
      <c r="H6" s="898"/>
      <c r="I6" s="898"/>
      <c r="J6" s="898"/>
      <c r="K6" s="898"/>
      <c r="L6" s="899"/>
      <c r="M6" s="900"/>
      <c r="N6" s="901"/>
      <c r="O6" s="902"/>
    </row>
    <row r="7" spans="2:15" x14ac:dyDescent="0.25">
      <c r="B7" s="903" t="s">
        <v>576</v>
      </c>
      <c r="C7" s="1070">
        <v>10</v>
      </c>
      <c r="D7" s="904">
        <f>ROUND(C7*$D$3,0)</f>
        <v>220</v>
      </c>
      <c r="E7" s="1072">
        <v>22</v>
      </c>
      <c r="F7" s="1072">
        <v>198</v>
      </c>
      <c r="G7" s="1072">
        <v>0</v>
      </c>
      <c r="H7" s="1072">
        <v>0</v>
      </c>
      <c r="I7" s="1072">
        <v>0</v>
      </c>
      <c r="J7" s="1072">
        <v>0</v>
      </c>
      <c r="K7" s="1072">
        <v>0</v>
      </c>
      <c r="L7" s="905">
        <f t="shared" ref="L7:L12" si="0">SUM(F7:K7)</f>
        <v>198</v>
      </c>
      <c r="M7" s="906" t="str">
        <f t="shared" ref="M7:M12" si="1">IF(D7=SUM(E7,L7),"SI","NO")</f>
        <v>SI</v>
      </c>
      <c r="N7" s="907">
        <f t="shared" ref="N7:N13" si="2">IF(ISERROR(E7/SUM($E7,$L7)),"",E7/SUM($E7,$L7))</f>
        <v>0.1</v>
      </c>
      <c r="O7" s="908">
        <f t="shared" ref="O7:O13" si="3">IF(ISERROR(L7/SUM($E7,$L7)),"",L7/SUM($E7,$L7))</f>
        <v>0.9</v>
      </c>
    </row>
    <row r="8" spans="2:15" x14ac:dyDescent="0.25">
      <c r="B8" s="903" t="s">
        <v>126</v>
      </c>
      <c r="C8" s="1072">
        <v>20</v>
      </c>
      <c r="D8" s="904">
        <f>ROUND(C8*$D$3,0)</f>
        <v>440</v>
      </c>
      <c r="E8" s="1072">
        <v>132</v>
      </c>
      <c r="F8" s="1072">
        <v>308</v>
      </c>
      <c r="G8" s="521"/>
      <c r="H8" s="1072"/>
      <c r="I8" s="1072"/>
      <c r="J8" s="1072"/>
      <c r="K8" s="1072"/>
      <c r="L8" s="905">
        <f>SUM(F8:K8)</f>
        <v>308</v>
      </c>
      <c r="M8" s="906" t="str">
        <f t="shared" si="1"/>
        <v>SI</v>
      </c>
      <c r="N8" s="907">
        <f>IF(ISERROR(E8/SUM($E8,$L8)),"",E8/SUM($E8,$L8))</f>
        <v>0.3</v>
      </c>
      <c r="O8" s="908">
        <f>IF(ISERROR(L8/SUM($E8,$L8)),"",L8/SUM($E8,$L8))</f>
        <v>0.7</v>
      </c>
    </row>
    <row r="9" spans="2:15" x14ac:dyDescent="0.25">
      <c r="B9" s="903" t="s">
        <v>127</v>
      </c>
      <c r="C9" s="1072">
        <v>0</v>
      </c>
      <c r="D9" s="904">
        <f>ROUND(C9*$D$3,0)</f>
        <v>0</v>
      </c>
      <c r="E9" s="521">
        <v>0</v>
      </c>
      <c r="F9" s="521">
        <v>0</v>
      </c>
      <c r="G9" s="1072"/>
      <c r="H9" s="1072"/>
      <c r="I9" s="1072"/>
      <c r="J9" s="1072"/>
      <c r="K9" s="1072"/>
      <c r="L9" s="905">
        <f>SUM(F9:K9)</f>
        <v>0</v>
      </c>
      <c r="M9" s="906" t="str">
        <f>IF(D9=SUM(E8,L9),"SI","NO")</f>
        <v>NO</v>
      </c>
      <c r="N9" s="907">
        <f>IF(ISERROR(E8/SUM($E8,$L9)),"",E8/SUM($E8,$L9))</f>
        <v>1</v>
      </c>
      <c r="O9" s="908">
        <f>IF(ISERROR(L9/SUM($E8,$L9)),"",L9/SUM($E8,$L9))</f>
        <v>0</v>
      </c>
    </row>
    <row r="10" spans="2:15" x14ac:dyDescent="0.25">
      <c r="B10" s="903" t="s">
        <v>128</v>
      </c>
      <c r="C10" s="1072">
        <v>10</v>
      </c>
      <c r="D10" s="904">
        <f>C10*$D$3</f>
        <v>220</v>
      </c>
      <c r="E10" s="1072">
        <v>22</v>
      </c>
      <c r="F10" s="1072">
        <v>198</v>
      </c>
      <c r="G10" s="1072"/>
      <c r="H10" s="1072"/>
      <c r="I10" s="1072"/>
      <c r="J10" s="1072"/>
      <c r="K10" s="1072"/>
      <c r="L10" s="905">
        <f t="shared" si="0"/>
        <v>198</v>
      </c>
      <c r="M10" s="906" t="str">
        <f t="shared" si="1"/>
        <v>SI</v>
      </c>
      <c r="N10" s="907">
        <f t="shared" si="2"/>
        <v>0.1</v>
      </c>
      <c r="O10" s="908">
        <f t="shared" si="3"/>
        <v>0.9</v>
      </c>
    </row>
    <row r="11" spans="2:15" x14ac:dyDescent="0.25">
      <c r="B11" s="903" t="s">
        <v>129</v>
      </c>
      <c r="C11" s="1072">
        <v>8</v>
      </c>
      <c r="D11" s="904">
        <f>C11*$D$3</f>
        <v>176</v>
      </c>
      <c r="E11" s="1072">
        <v>44</v>
      </c>
      <c r="F11" s="1072">
        <v>132</v>
      </c>
      <c r="G11" s="1072"/>
      <c r="H11" s="1072"/>
      <c r="I11" s="1072"/>
      <c r="J11" s="1072"/>
      <c r="K11" s="1072"/>
      <c r="L11" s="905">
        <f t="shared" si="0"/>
        <v>132</v>
      </c>
      <c r="M11" s="906" t="str">
        <f t="shared" si="1"/>
        <v>SI</v>
      </c>
      <c r="N11" s="907">
        <f t="shared" si="2"/>
        <v>0.25</v>
      </c>
      <c r="O11" s="908">
        <f t="shared" si="3"/>
        <v>0.75</v>
      </c>
    </row>
    <row r="12" spans="2:15" x14ac:dyDescent="0.25">
      <c r="B12" s="903" t="s">
        <v>130</v>
      </c>
      <c r="C12" s="1072">
        <v>40</v>
      </c>
      <c r="D12" s="904">
        <f>C12*$D$3</f>
        <v>880</v>
      </c>
      <c r="E12" s="1072">
        <v>110</v>
      </c>
      <c r="F12" s="1072">
        <v>770</v>
      </c>
      <c r="G12" s="1072"/>
      <c r="H12" s="1072"/>
      <c r="I12" s="1072"/>
      <c r="J12" s="1072"/>
      <c r="K12" s="1072"/>
      <c r="L12" s="905">
        <f t="shared" si="0"/>
        <v>770</v>
      </c>
      <c r="M12" s="906" t="str">
        <f t="shared" si="1"/>
        <v>SI</v>
      </c>
      <c r="N12" s="907">
        <f t="shared" si="2"/>
        <v>0.125</v>
      </c>
      <c r="O12" s="908">
        <f t="shared" si="3"/>
        <v>0.875</v>
      </c>
    </row>
    <row r="13" spans="2:15" ht="15.75" thickBot="1" x14ac:dyDescent="0.3">
      <c r="B13" s="909" t="s">
        <v>159</v>
      </c>
      <c r="C13" s="910">
        <f>SUM(C7:C12)</f>
        <v>88</v>
      </c>
      <c r="D13" s="911">
        <f>SUM(D7:D12)</f>
        <v>1936</v>
      </c>
      <c r="E13" s="912">
        <f t="shared" ref="E13:L13" si="4">SUM(E7:E12)</f>
        <v>330</v>
      </c>
      <c r="F13" s="913">
        <f t="shared" si="4"/>
        <v>1606</v>
      </c>
      <c r="G13" s="913">
        <f t="shared" si="4"/>
        <v>0</v>
      </c>
      <c r="H13" s="913">
        <f t="shared" si="4"/>
        <v>0</v>
      </c>
      <c r="I13" s="913">
        <f t="shared" si="4"/>
        <v>0</v>
      </c>
      <c r="J13" s="913">
        <f t="shared" si="4"/>
        <v>0</v>
      </c>
      <c r="K13" s="913">
        <f>SUM(K7:K12)</f>
        <v>0</v>
      </c>
      <c r="L13" s="913">
        <f t="shared" si="4"/>
        <v>1606</v>
      </c>
      <c r="M13" s="914"/>
      <c r="N13" s="915">
        <f t="shared" si="2"/>
        <v>0.17045454545454544</v>
      </c>
      <c r="O13" s="916">
        <f t="shared" si="3"/>
        <v>0.82954545454545459</v>
      </c>
    </row>
    <row r="14" spans="2:15" x14ac:dyDescent="0.25">
      <c r="B14" s="165" t="s">
        <v>72</v>
      </c>
      <c r="C14" s="917"/>
      <c r="D14" s="918"/>
      <c r="E14" s="919"/>
      <c r="F14" s="920"/>
      <c r="G14" s="920"/>
      <c r="H14" s="920"/>
      <c r="I14" s="920"/>
      <c r="J14" s="920"/>
      <c r="K14" s="920"/>
      <c r="L14" s="899"/>
      <c r="M14" s="899"/>
      <c r="N14" s="921"/>
      <c r="O14" s="922"/>
    </row>
    <row r="15" spans="2:15" x14ac:dyDescent="0.25">
      <c r="B15" s="903" t="s">
        <v>576</v>
      </c>
      <c r="C15" s="1070">
        <v>8</v>
      </c>
      <c r="D15" s="904">
        <f>ROUND(C15*$D$3,0)</f>
        <v>176</v>
      </c>
      <c r="E15" s="1076">
        <v>22</v>
      </c>
      <c r="F15" s="1070">
        <v>44</v>
      </c>
      <c r="G15" s="1070">
        <v>110</v>
      </c>
      <c r="H15" s="1070"/>
      <c r="I15" s="1070"/>
      <c r="J15" s="1070"/>
      <c r="K15" s="1070"/>
      <c r="L15" s="905">
        <f>SUM(F15:K15)</f>
        <v>154</v>
      </c>
      <c r="M15" s="906" t="str">
        <f>IF(D15=SUM(E15,L15),"SI","NO")</f>
        <v>SI</v>
      </c>
      <c r="N15" s="907">
        <f t="shared" ref="N15:N20" si="5">IF(ISERROR(E15/SUM($E15,$L15)),"",E15/SUM($E15,$L15))</f>
        <v>0.125</v>
      </c>
      <c r="O15" s="908">
        <f t="shared" ref="O15:O20" si="6">IF(ISERROR(L15/SUM($E15,$L15)),"",L15/SUM($E15,$L15))</f>
        <v>0.875</v>
      </c>
    </row>
    <row r="16" spans="2:15" x14ac:dyDescent="0.25">
      <c r="B16" s="903" t="s">
        <v>126</v>
      </c>
      <c r="C16" s="1072">
        <v>0</v>
      </c>
      <c r="D16" s="904">
        <f>ROUND(C16*$D$3,0)</f>
        <v>0</v>
      </c>
      <c r="E16" s="1077">
        <v>0</v>
      </c>
      <c r="F16" s="1072"/>
      <c r="G16" s="1072">
        <v>0</v>
      </c>
      <c r="H16" s="1072"/>
      <c r="I16" s="1072"/>
      <c r="J16" s="1072"/>
      <c r="K16" s="1072"/>
      <c r="L16" s="905">
        <f>SUM(F16:K16)</f>
        <v>0</v>
      </c>
      <c r="M16" s="906" t="str">
        <f>IF(D16=SUM(E16,L16),"SI","NO")</f>
        <v>SI</v>
      </c>
      <c r="N16" s="907" t="str">
        <f>IF(ISERROR(E16/SUM($E16,$L16)),"",E16/SUM($E16,$L16))</f>
        <v/>
      </c>
      <c r="O16" s="908" t="str">
        <f>IF(ISERROR(L16/SUM($E16,$L16)),"",L16/SUM($E16,$L16))</f>
        <v/>
      </c>
    </row>
    <row r="17" spans="2:15" x14ac:dyDescent="0.25">
      <c r="B17" s="903" t="s">
        <v>127</v>
      </c>
      <c r="C17" s="1072">
        <v>16</v>
      </c>
      <c r="D17" s="904">
        <f>ROUND(C17*$D$3,0)</f>
        <v>352</v>
      </c>
      <c r="E17" s="1077">
        <v>22</v>
      </c>
      <c r="F17" s="1072"/>
      <c r="G17" s="1072">
        <v>330</v>
      </c>
      <c r="H17" s="1072"/>
      <c r="I17" s="1072"/>
      <c r="J17" s="1072"/>
      <c r="K17" s="1072"/>
      <c r="L17" s="905">
        <f>SUM(F17:K17)</f>
        <v>330</v>
      </c>
      <c r="M17" s="906" t="str">
        <f>IF(D17=SUM(E17,L17),"SI","NO")</f>
        <v>SI</v>
      </c>
      <c r="N17" s="907">
        <f>IF(ISERROR(E17/SUM($E17,$L17)),"",E17/SUM($E17,$L17))</f>
        <v>6.25E-2</v>
      </c>
      <c r="O17" s="908">
        <f>IF(ISERROR(L17/SUM($E17,$L17)),"",L17/SUM($E17,$L17))</f>
        <v>0.9375</v>
      </c>
    </row>
    <row r="18" spans="2:15" x14ac:dyDescent="0.25">
      <c r="B18" s="903" t="s">
        <v>129</v>
      </c>
      <c r="C18" s="1072">
        <v>32</v>
      </c>
      <c r="D18" s="904">
        <f>C18*$D$3</f>
        <v>704</v>
      </c>
      <c r="E18" s="1077">
        <v>110</v>
      </c>
      <c r="F18" s="1072"/>
      <c r="G18" s="1072">
        <v>594</v>
      </c>
      <c r="H18" s="1072"/>
      <c r="I18" s="1072"/>
      <c r="J18" s="1072"/>
      <c r="K18" s="1072"/>
      <c r="L18" s="905">
        <f>SUM(F18:K18)</f>
        <v>594</v>
      </c>
      <c r="M18" s="906" t="str">
        <f>IF(D18=SUM(E18,L18),"SI","NO")</f>
        <v>SI</v>
      </c>
      <c r="N18" s="907">
        <f>IF(ISERROR(E18/SUM($E18,$L18)),"",E18/SUM($E18,$L18))</f>
        <v>0.15625</v>
      </c>
      <c r="O18" s="908">
        <f>IF(ISERROR(L18/SUM($E18,$L18)),"",L18/SUM($E18,$L18))</f>
        <v>0.84375</v>
      </c>
    </row>
    <row r="19" spans="2:15" x14ac:dyDescent="0.25">
      <c r="B19" s="903" t="s">
        <v>130</v>
      </c>
      <c r="C19" s="1072">
        <v>32</v>
      </c>
      <c r="D19" s="904">
        <f>C19*$D$3</f>
        <v>704</v>
      </c>
      <c r="E19" s="1077">
        <v>110</v>
      </c>
      <c r="F19" s="1072"/>
      <c r="G19" s="1072">
        <v>594</v>
      </c>
      <c r="H19" s="1072"/>
      <c r="I19" s="1072"/>
      <c r="J19" s="1072"/>
      <c r="K19" s="1072"/>
      <c r="L19" s="905">
        <f>SUM(F19:K19)</f>
        <v>594</v>
      </c>
      <c r="M19" s="906" t="str">
        <f>IF(D19=SUM(E19,L19),"SI","NO")</f>
        <v>SI</v>
      </c>
      <c r="N19" s="907">
        <f t="shared" si="5"/>
        <v>0.15625</v>
      </c>
      <c r="O19" s="908">
        <f t="shared" si="6"/>
        <v>0.84375</v>
      </c>
    </row>
    <row r="20" spans="2:15" ht="15.75" thickBot="1" x14ac:dyDescent="0.3">
      <c r="B20" s="923" t="s">
        <v>160</v>
      </c>
      <c r="C20" s="924">
        <f t="shared" ref="C20:L20" si="7">SUM(C15:C19)</f>
        <v>88</v>
      </c>
      <c r="D20" s="925">
        <f t="shared" si="7"/>
        <v>1936</v>
      </c>
      <c r="E20" s="926">
        <f t="shared" si="7"/>
        <v>264</v>
      </c>
      <c r="F20" s="927">
        <f t="shared" si="7"/>
        <v>44</v>
      </c>
      <c r="G20" s="927">
        <f t="shared" si="7"/>
        <v>1628</v>
      </c>
      <c r="H20" s="927">
        <f t="shared" si="7"/>
        <v>0</v>
      </c>
      <c r="I20" s="927">
        <f t="shared" si="7"/>
        <v>0</v>
      </c>
      <c r="J20" s="927">
        <f t="shared" si="7"/>
        <v>0</v>
      </c>
      <c r="K20" s="927">
        <f>SUM(K15:K19)</f>
        <v>0</v>
      </c>
      <c r="L20" s="927">
        <f t="shared" si="7"/>
        <v>1672</v>
      </c>
      <c r="M20" s="928"/>
      <c r="N20" s="929">
        <f t="shared" si="5"/>
        <v>0.13636363636363635</v>
      </c>
      <c r="O20" s="930">
        <f t="shared" si="6"/>
        <v>0.86363636363636365</v>
      </c>
    </row>
    <row r="21" spans="2:15" x14ac:dyDescent="0.25">
      <c r="B21" s="165" t="s">
        <v>41</v>
      </c>
      <c r="C21" s="917"/>
      <c r="D21" s="918"/>
      <c r="E21" s="919"/>
      <c r="F21" s="920"/>
      <c r="G21" s="920"/>
      <c r="H21" s="920"/>
      <c r="I21" s="920"/>
      <c r="J21" s="920"/>
      <c r="K21" s="920"/>
      <c r="L21" s="899"/>
      <c r="M21" s="899"/>
      <c r="N21" s="921"/>
      <c r="O21" s="922"/>
    </row>
    <row r="22" spans="2:15" x14ac:dyDescent="0.25">
      <c r="B22" s="903" t="s">
        <v>576</v>
      </c>
      <c r="C22" s="1070">
        <v>6</v>
      </c>
      <c r="D22" s="904">
        <f>ROUND(C22*$D$3,0)</f>
        <v>132</v>
      </c>
      <c r="E22" s="1076">
        <v>22</v>
      </c>
      <c r="F22" s="1070"/>
      <c r="G22" s="1070"/>
      <c r="H22" s="1070">
        <v>110</v>
      </c>
      <c r="I22" s="1072"/>
      <c r="J22" s="1072"/>
      <c r="K22" s="1072"/>
      <c r="L22" s="905">
        <f>SUM(F22:K22)</f>
        <v>110</v>
      </c>
      <c r="M22" s="906" t="str">
        <f>IF(D22=SUM(E22,L22),"SI","NO")</f>
        <v>SI</v>
      </c>
      <c r="N22" s="907">
        <f t="shared" ref="N22:N27" si="8">IF(ISERROR(E22/SUM($E22,$L22)),"",E22/SUM($E22,$L22))</f>
        <v>0.16666666666666666</v>
      </c>
      <c r="O22" s="908">
        <f t="shared" ref="O22:O27" si="9">IF(ISERROR(L22/SUM($E22,$L22)),"",L22/SUM($E22,$L22))</f>
        <v>0.83333333333333337</v>
      </c>
    </row>
    <row r="23" spans="2:15" x14ac:dyDescent="0.25">
      <c r="B23" s="903" t="s">
        <v>126</v>
      </c>
      <c r="C23" s="1072">
        <v>0</v>
      </c>
      <c r="D23" s="904">
        <f>ROUND(C23*$D$3,0)</f>
        <v>0</v>
      </c>
      <c r="E23" s="1077">
        <v>0</v>
      </c>
      <c r="F23" s="1072"/>
      <c r="G23" s="1072"/>
      <c r="H23" s="1072">
        <v>0</v>
      </c>
      <c r="I23" s="1072"/>
      <c r="J23" s="1072"/>
      <c r="K23" s="1072"/>
      <c r="L23" s="905">
        <f>SUM(F23:K23)</f>
        <v>0</v>
      </c>
      <c r="M23" s="906" t="str">
        <f>IF(D23=SUM(E23,L23),"SI","NO")</f>
        <v>SI</v>
      </c>
      <c r="N23" s="907" t="str">
        <f t="shared" si="8"/>
        <v/>
      </c>
      <c r="O23" s="908" t="str">
        <f t="shared" si="9"/>
        <v/>
      </c>
    </row>
    <row r="24" spans="2:15" x14ac:dyDescent="0.25">
      <c r="B24" s="903" t="s">
        <v>127</v>
      </c>
      <c r="C24" s="1072">
        <v>16</v>
      </c>
      <c r="D24" s="904">
        <f>ROUND(C24*$D$3,0)</f>
        <v>352</v>
      </c>
      <c r="E24" s="1077">
        <v>22</v>
      </c>
      <c r="F24" s="1072"/>
      <c r="G24" s="1072"/>
      <c r="H24" s="1072">
        <v>330</v>
      </c>
      <c r="I24" s="1072"/>
      <c r="J24" s="1072"/>
      <c r="K24" s="1072"/>
      <c r="L24" s="905">
        <f>SUM(F24:K24)</f>
        <v>330</v>
      </c>
      <c r="M24" s="906" t="str">
        <f>IF(D24=SUM(E24,L24),"SI","NO")</f>
        <v>SI</v>
      </c>
      <c r="N24" s="907">
        <f t="shared" si="8"/>
        <v>6.25E-2</v>
      </c>
      <c r="O24" s="908">
        <f t="shared" si="9"/>
        <v>0.9375</v>
      </c>
    </row>
    <row r="25" spans="2:15" x14ac:dyDescent="0.25">
      <c r="B25" s="903" t="s">
        <v>129</v>
      </c>
      <c r="C25" s="1072">
        <v>8</v>
      </c>
      <c r="D25" s="904">
        <f>C25*$D$3</f>
        <v>176</v>
      </c>
      <c r="E25" s="1077">
        <v>44</v>
      </c>
      <c r="F25" s="1072"/>
      <c r="G25" s="1072"/>
      <c r="H25" s="1072">
        <v>132</v>
      </c>
      <c r="I25" s="1072"/>
      <c r="J25" s="1072"/>
      <c r="K25" s="1072"/>
      <c r="L25" s="905">
        <f>SUM(F25:K25)</f>
        <v>132</v>
      </c>
      <c r="M25" s="906" t="str">
        <f>IF(D25=SUM(E25,L25),"SI","NO")</f>
        <v>SI</v>
      </c>
      <c r="N25" s="907">
        <f t="shared" si="8"/>
        <v>0.25</v>
      </c>
      <c r="O25" s="908">
        <f t="shared" si="9"/>
        <v>0.75</v>
      </c>
    </row>
    <row r="26" spans="2:15" x14ac:dyDescent="0.25">
      <c r="B26" s="903" t="s">
        <v>130</v>
      </c>
      <c r="C26" s="1072">
        <v>16</v>
      </c>
      <c r="D26" s="904">
        <f>C26*$D$3</f>
        <v>352</v>
      </c>
      <c r="E26" s="1077">
        <v>44</v>
      </c>
      <c r="F26" s="1072"/>
      <c r="G26" s="1072"/>
      <c r="H26" s="1072">
        <v>308</v>
      </c>
      <c r="I26" s="1072"/>
      <c r="J26" s="1072"/>
      <c r="K26" s="1072"/>
      <c r="L26" s="905">
        <f>SUM(F26:K26)</f>
        <v>308</v>
      </c>
      <c r="M26" s="906" t="str">
        <f>IF(D26=SUM(E26,L26),"SI","NO")</f>
        <v>SI</v>
      </c>
      <c r="N26" s="907">
        <f t="shared" si="8"/>
        <v>0.125</v>
      </c>
      <c r="O26" s="908">
        <f t="shared" si="9"/>
        <v>0.875</v>
      </c>
    </row>
    <row r="27" spans="2:15" ht="15.75" thickBot="1" x14ac:dyDescent="0.3">
      <c r="B27" s="923" t="s">
        <v>653</v>
      </c>
      <c r="C27" s="924">
        <f t="shared" ref="C27:L27" si="10">SUM(C22:C26)</f>
        <v>46</v>
      </c>
      <c r="D27" s="925">
        <f t="shared" si="10"/>
        <v>1012</v>
      </c>
      <c r="E27" s="926">
        <f t="shared" si="10"/>
        <v>132</v>
      </c>
      <c r="F27" s="927">
        <f t="shared" si="10"/>
        <v>0</v>
      </c>
      <c r="G27" s="927">
        <f t="shared" si="10"/>
        <v>0</v>
      </c>
      <c r="H27" s="927">
        <f t="shared" si="10"/>
        <v>880</v>
      </c>
      <c r="I27" s="927">
        <f t="shared" si="10"/>
        <v>0</v>
      </c>
      <c r="J27" s="927">
        <f t="shared" si="10"/>
        <v>0</v>
      </c>
      <c r="K27" s="927">
        <f>SUM(K22:K26)</f>
        <v>0</v>
      </c>
      <c r="L27" s="927">
        <f t="shared" si="10"/>
        <v>880</v>
      </c>
      <c r="M27" s="928"/>
      <c r="N27" s="929">
        <f t="shared" si="8"/>
        <v>0.13043478260869565</v>
      </c>
      <c r="O27" s="930">
        <f t="shared" si="9"/>
        <v>0.86956521739130432</v>
      </c>
    </row>
    <row r="28" spans="2:15" x14ac:dyDescent="0.25">
      <c r="B28" s="165" t="s">
        <v>42</v>
      </c>
      <c r="C28" s="917"/>
      <c r="D28" s="918"/>
      <c r="E28" s="919"/>
      <c r="F28" s="920"/>
      <c r="G28" s="920"/>
      <c r="H28" s="920"/>
      <c r="I28" s="920"/>
      <c r="J28" s="920"/>
      <c r="K28" s="920"/>
      <c r="L28" s="899"/>
      <c r="M28" s="899"/>
      <c r="N28" s="921"/>
      <c r="O28" s="922"/>
    </row>
    <row r="29" spans="2:15" x14ac:dyDescent="0.25">
      <c r="B29" s="903" t="s">
        <v>576</v>
      </c>
      <c r="C29" s="1070">
        <v>14</v>
      </c>
      <c r="D29" s="904">
        <f>ROUND(C29*$D$3,0)</f>
        <v>308</v>
      </c>
      <c r="E29" s="1076">
        <v>22</v>
      </c>
      <c r="F29" s="1070">
        <v>66</v>
      </c>
      <c r="G29" s="1070"/>
      <c r="H29" s="1070"/>
      <c r="I29" s="1070"/>
      <c r="J29" s="1070">
        <v>198</v>
      </c>
      <c r="K29" s="1072">
        <v>22</v>
      </c>
      <c r="L29" s="905">
        <f>SUM(F29:K29)</f>
        <v>286</v>
      </c>
      <c r="M29" s="906" t="str">
        <f>IF(D29=SUM(E29,L29),"SI","NO")</f>
        <v>SI</v>
      </c>
      <c r="N29" s="907">
        <f t="shared" ref="N29:N34" si="11">IF(ISERROR(E29/SUM($E29,$L29)),"",E29/SUM($E29,$L29))</f>
        <v>7.1428571428571425E-2</v>
      </c>
      <c r="O29" s="908">
        <f t="shared" ref="O29:O34" si="12">IF(ISERROR(L29/SUM($E29,$L29)),"",L29/SUM($E29,$L29))</f>
        <v>0.9285714285714286</v>
      </c>
    </row>
    <row r="30" spans="2:15" x14ac:dyDescent="0.25">
      <c r="B30" s="903" t="s">
        <v>126</v>
      </c>
      <c r="C30" s="1072">
        <v>0</v>
      </c>
      <c r="D30" s="904">
        <f>ROUND(C30*$D$3,0)</f>
        <v>0</v>
      </c>
      <c r="E30" s="1077">
        <v>0</v>
      </c>
      <c r="F30" s="1072"/>
      <c r="G30" s="1072"/>
      <c r="H30" s="1072">
        <v>0</v>
      </c>
      <c r="I30" s="1072"/>
      <c r="J30" s="1072"/>
      <c r="K30" s="1072"/>
      <c r="L30" s="905">
        <f>SUM(F30:K30)</f>
        <v>0</v>
      </c>
      <c r="M30" s="906" t="str">
        <f>IF(D30=SUM(E30,L30),"SI","NO")</f>
        <v>SI</v>
      </c>
      <c r="N30" s="907" t="str">
        <f t="shared" si="11"/>
        <v/>
      </c>
      <c r="O30" s="908" t="str">
        <f t="shared" si="12"/>
        <v/>
      </c>
    </row>
    <row r="31" spans="2:15" x14ac:dyDescent="0.25">
      <c r="B31" s="903" t="s">
        <v>127</v>
      </c>
      <c r="C31" s="1072">
        <v>8</v>
      </c>
      <c r="D31" s="904">
        <f>ROUND(C31*$D$3,0)</f>
        <v>176</v>
      </c>
      <c r="E31" s="1077">
        <v>22</v>
      </c>
      <c r="F31" s="1072"/>
      <c r="G31" s="1072"/>
      <c r="H31" s="1072">
        <v>154</v>
      </c>
      <c r="I31" s="1072"/>
      <c r="J31" s="1072"/>
      <c r="K31" s="1072"/>
      <c r="L31" s="905">
        <f>SUM(F31:K31)</f>
        <v>154</v>
      </c>
      <c r="M31" s="906" t="str">
        <f>IF(D31=SUM(E31,L31),"SI","NO")</f>
        <v>SI</v>
      </c>
      <c r="N31" s="907">
        <f t="shared" si="11"/>
        <v>0.125</v>
      </c>
      <c r="O31" s="908">
        <f t="shared" si="12"/>
        <v>0.875</v>
      </c>
    </row>
    <row r="32" spans="2:15" x14ac:dyDescent="0.25">
      <c r="B32" s="903" t="s">
        <v>129</v>
      </c>
      <c r="C32" s="1072">
        <v>8</v>
      </c>
      <c r="D32" s="904">
        <f>C32*$D$3</f>
        <v>176</v>
      </c>
      <c r="E32" s="1077">
        <v>44</v>
      </c>
      <c r="F32" s="1072"/>
      <c r="G32" s="1072"/>
      <c r="H32" s="1072">
        <v>132</v>
      </c>
      <c r="I32" s="1072"/>
      <c r="J32" s="1072"/>
      <c r="K32" s="1072"/>
      <c r="L32" s="905">
        <f>SUM(F32:K32)</f>
        <v>132</v>
      </c>
      <c r="M32" s="906" t="str">
        <f>IF(D32=SUM(E32,L32),"SI","NO")</f>
        <v>SI</v>
      </c>
      <c r="N32" s="907">
        <f t="shared" si="11"/>
        <v>0.25</v>
      </c>
      <c r="O32" s="908">
        <f t="shared" si="12"/>
        <v>0.75</v>
      </c>
    </row>
    <row r="33" spans="2:15" x14ac:dyDescent="0.25">
      <c r="B33" s="903" t="s">
        <v>130</v>
      </c>
      <c r="C33" s="1072">
        <v>16</v>
      </c>
      <c r="D33" s="904">
        <f>C33*$D$3</f>
        <v>352</v>
      </c>
      <c r="E33" s="1077">
        <v>44</v>
      </c>
      <c r="F33" s="1072"/>
      <c r="G33" s="1072"/>
      <c r="H33" s="1072">
        <v>308</v>
      </c>
      <c r="I33" s="1072"/>
      <c r="J33" s="1072"/>
      <c r="K33" s="1072"/>
      <c r="L33" s="905">
        <f>SUM(F33:K33)</f>
        <v>308</v>
      </c>
      <c r="M33" s="906" t="str">
        <f>IF(D33=SUM(E33,L33),"SI","NO")</f>
        <v>SI</v>
      </c>
      <c r="N33" s="907">
        <f t="shared" si="11"/>
        <v>0.125</v>
      </c>
      <c r="O33" s="908">
        <f t="shared" si="12"/>
        <v>0.875</v>
      </c>
    </row>
    <row r="34" spans="2:15" ht="15.75" thickBot="1" x14ac:dyDescent="0.3">
      <c r="B34" s="923" t="s">
        <v>161</v>
      </c>
      <c r="C34" s="924">
        <f t="shared" ref="C34:L34" si="13">SUM(C29:C33)</f>
        <v>46</v>
      </c>
      <c r="D34" s="925">
        <f t="shared" si="13"/>
        <v>1012</v>
      </c>
      <c r="E34" s="926">
        <f t="shared" si="13"/>
        <v>132</v>
      </c>
      <c r="F34" s="927">
        <f t="shared" si="13"/>
        <v>66</v>
      </c>
      <c r="G34" s="927">
        <f t="shared" si="13"/>
        <v>0</v>
      </c>
      <c r="H34" s="927">
        <f t="shared" si="13"/>
        <v>594</v>
      </c>
      <c r="I34" s="927">
        <f t="shared" si="13"/>
        <v>0</v>
      </c>
      <c r="J34" s="927">
        <f t="shared" si="13"/>
        <v>198</v>
      </c>
      <c r="K34" s="927">
        <f>SUM(K29:K33)</f>
        <v>22</v>
      </c>
      <c r="L34" s="927">
        <f t="shared" si="13"/>
        <v>880</v>
      </c>
      <c r="M34" s="928"/>
      <c r="N34" s="929">
        <f t="shared" si="11"/>
        <v>0.13043478260869565</v>
      </c>
      <c r="O34" s="930">
        <f t="shared" si="12"/>
        <v>0.86956521739130432</v>
      </c>
    </row>
    <row r="35" spans="2:15" x14ac:dyDescent="0.25">
      <c r="B35" s="165" t="s">
        <v>43</v>
      </c>
      <c r="C35" s="917"/>
      <c r="D35" s="918"/>
      <c r="E35" s="919"/>
      <c r="F35" s="920"/>
      <c r="G35" s="920"/>
      <c r="H35" s="920"/>
      <c r="I35" s="920"/>
      <c r="J35" s="920"/>
      <c r="K35" s="920"/>
      <c r="L35" s="899"/>
      <c r="M35" s="899"/>
      <c r="N35" s="921"/>
      <c r="O35" s="922"/>
    </row>
    <row r="36" spans="2:15" x14ac:dyDescent="0.25">
      <c r="B36" s="903" t="s">
        <v>576</v>
      </c>
      <c r="C36" s="1070">
        <v>12</v>
      </c>
      <c r="D36" s="904">
        <f>ROUND(C36*$D$3,0)</f>
        <v>264</v>
      </c>
      <c r="E36" s="1076">
        <v>22</v>
      </c>
      <c r="F36" s="1070">
        <v>132</v>
      </c>
      <c r="G36" s="1070"/>
      <c r="H36" s="1070"/>
      <c r="I36" s="1070"/>
      <c r="J36" s="1070">
        <v>110</v>
      </c>
      <c r="K36" s="1072"/>
      <c r="L36" s="905">
        <f>SUM(F36:K36)</f>
        <v>242</v>
      </c>
      <c r="M36" s="906" t="str">
        <f>IF(D36=SUM(E36,L36),"SI","NO")</f>
        <v>SI</v>
      </c>
      <c r="N36" s="907">
        <f t="shared" ref="N36:N41" si="14">IF(ISERROR(E36/SUM($E36,$L36)),"",E36/SUM($E36,$L36))</f>
        <v>8.3333333333333329E-2</v>
      </c>
      <c r="O36" s="908">
        <f t="shared" ref="O36:O41" si="15">IF(ISERROR(L36/SUM($E36,$L36)),"",L36/SUM($E36,$L36))</f>
        <v>0.91666666666666663</v>
      </c>
    </row>
    <row r="37" spans="2:15" x14ac:dyDescent="0.25">
      <c r="B37" s="903" t="s">
        <v>126</v>
      </c>
      <c r="C37" s="1072"/>
      <c r="D37" s="904">
        <f>ROUND(C37*$D$3,0)</f>
        <v>0</v>
      </c>
      <c r="E37" s="1077"/>
      <c r="F37" s="1072"/>
      <c r="G37" s="1072"/>
      <c r="H37" s="1072"/>
      <c r="I37" s="1072"/>
      <c r="J37" s="1072"/>
      <c r="K37" s="1072"/>
      <c r="L37" s="905">
        <f>SUM(F37:K37)</f>
        <v>0</v>
      </c>
      <c r="M37" s="906" t="str">
        <f>IF(D37=SUM(E37,L37),"SI","NO")</f>
        <v>SI</v>
      </c>
      <c r="N37" s="907" t="str">
        <f t="shared" si="14"/>
        <v/>
      </c>
      <c r="O37" s="908" t="str">
        <f t="shared" si="15"/>
        <v/>
      </c>
    </row>
    <row r="38" spans="2:15" x14ac:dyDescent="0.25">
      <c r="B38" s="903" t="s">
        <v>127</v>
      </c>
      <c r="C38" s="1072"/>
      <c r="D38" s="904">
        <f>ROUND(C38*$D$3,0)</f>
        <v>0</v>
      </c>
      <c r="E38" s="1077"/>
      <c r="F38" s="1072"/>
      <c r="G38" s="1072"/>
      <c r="H38" s="1072"/>
      <c r="I38" s="1072"/>
      <c r="J38" s="1072"/>
      <c r="K38" s="1072"/>
      <c r="L38" s="905">
        <f>SUM(F38:K38)</f>
        <v>0</v>
      </c>
      <c r="M38" s="906" t="str">
        <f>IF(D38=SUM(E38,L38),"SI","NO")</f>
        <v>SI</v>
      </c>
      <c r="N38" s="907" t="str">
        <f t="shared" si="14"/>
        <v/>
      </c>
      <c r="O38" s="908" t="str">
        <f t="shared" si="15"/>
        <v/>
      </c>
    </row>
    <row r="39" spans="2:15" x14ac:dyDescent="0.25">
      <c r="B39" s="903" t="s">
        <v>129</v>
      </c>
      <c r="C39" s="1072">
        <v>8</v>
      </c>
      <c r="D39" s="904">
        <f>C39*$D$3</f>
        <v>176</v>
      </c>
      <c r="E39" s="1077">
        <v>22</v>
      </c>
      <c r="F39" s="1072"/>
      <c r="G39" s="1072"/>
      <c r="H39" s="1072">
        <v>154</v>
      </c>
      <c r="I39" s="1072"/>
      <c r="J39" s="1072"/>
      <c r="K39" s="1072"/>
      <c r="L39" s="905">
        <f>SUM(F39:K39)</f>
        <v>154</v>
      </c>
      <c r="M39" s="906" t="str">
        <f>IF(D39=SUM(E39,L39),"SI","NO")</f>
        <v>SI</v>
      </c>
      <c r="N39" s="907">
        <f t="shared" si="14"/>
        <v>0.125</v>
      </c>
      <c r="O39" s="908">
        <f t="shared" si="15"/>
        <v>0.875</v>
      </c>
    </row>
    <row r="40" spans="2:15" x14ac:dyDescent="0.25">
      <c r="B40" s="903" t="s">
        <v>130</v>
      </c>
      <c r="C40" s="1072">
        <v>8</v>
      </c>
      <c r="D40" s="904">
        <f>C40*$D$3</f>
        <v>176</v>
      </c>
      <c r="E40" s="1077">
        <v>22</v>
      </c>
      <c r="F40" s="1072"/>
      <c r="G40" s="1072"/>
      <c r="H40" s="1072">
        <v>154</v>
      </c>
      <c r="I40" s="1072"/>
      <c r="J40" s="1072"/>
      <c r="K40" s="1072"/>
      <c r="L40" s="905">
        <f>SUM(F40:K40)</f>
        <v>154</v>
      </c>
      <c r="M40" s="906" t="str">
        <f>IF(D40=SUM(E40,L40),"SI","NO")</f>
        <v>SI</v>
      </c>
      <c r="N40" s="907">
        <f t="shared" si="14"/>
        <v>0.125</v>
      </c>
      <c r="O40" s="908">
        <f t="shared" si="15"/>
        <v>0.875</v>
      </c>
    </row>
    <row r="41" spans="2:15" ht="15.75" thickBot="1" x14ac:dyDescent="0.3">
      <c r="B41" s="923" t="s">
        <v>162</v>
      </c>
      <c r="C41" s="924">
        <f t="shared" ref="C41:L41" si="16">SUM(C36:C40)</f>
        <v>28</v>
      </c>
      <c r="D41" s="925">
        <f t="shared" si="16"/>
        <v>616</v>
      </c>
      <c r="E41" s="926">
        <f t="shared" si="16"/>
        <v>66</v>
      </c>
      <c r="F41" s="927">
        <f t="shared" si="16"/>
        <v>132</v>
      </c>
      <c r="G41" s="927">
        <f t="shared" si="16"/>
        <v>0</v>
      </c>
      <c r="H41" s="927">
        <f t="shared" si="16"/>
        <v>308</v>
      </c>
      <c r="I41" s="927">
        <f t="shared" si="16"/>
        <v>0</v>
      </c>
      <c r="J41" s="927">
        <f t="shared" si="16"/>
        <v>110</v>
      </c>
      <c r="K41" s="927">
        <f>SUM(K36:K40)</f>
        <v>0</v>
      </c>
      <c r="L41" s="927">
        <f t="shared" si="16"/>
        <v>550</v>
      </c>
      <c r="M41" s="928"/>
      <c r="N41" s="929">
        <f t="shared" si="14"/>
        <v>0.10714285714285714</v>
      </c>
      <c r="O41" s="930">
        <f t="shared" si="15"/>
        <v>0.8928571428571429</v>
      </c>
    </row>
    <row r="42" spans="2:15" x14ac:dyDescent="0.25">
      <c r="B42" s="165" t="s">
        <v>44</v>
      </c>
      <c r="C42" s="917"/>
      <c r="D42" s="918"/>
      <c r="E42" s="919"/>
      <c r="F42" s="920"/>
      <c r="G42" s="920"/>
      <c r="H42" s="920"/>
      <c r="I42" s="920"/>
      <c r="J42" s="920"/>
      <c r="K42" s="920"/>
      <c r="L42" s="899"/>
      <c r="M42" s="899"/>
      <c r="N42" s="921"/>
      <c r="O42" s="922"/>
    </row>
    <row r="43" spans="2:15" x14ac:dyDescent="0.25">
      <c r="B43" s="903" t="s">
        <v>576</v>
      </c>
      <c r="C43" s="1072">
        <v>40</v>
      </c>
      <c r="D43" s="904">
        <f>ROUND(C43*$D$3,0)</f>
        <v>880</v>
      </c>
      <c r="E43" s="1076">
        <v>66</v>
      </c>
      <c r="F43" s="1070">
        <v>176</v>
      </c>
      <c r="G43" s="1070">
        <v>44</v>
      </c>
      <c r="H43" s="1070">
        <v>88</v>
      </c>
      <c r="I43" s="1072">
        <v>176</v>
      </c>
      <c r="J43" s="1072">
        <v>330</v>
      </c>
      <c r="K43" s="1072"/>
      <c r="L43" s="905">
        <f>SUM(F43:K43)</f>
        <v>814</v>
      </c>
      <c r="M43" s="906" t="str">
        <f>IF(D43=SUM(E43,L43),"SI","NO")</f>
        <v>SI</v>
      </c>
      <c r="N43" s="907">
        <f t="shared" ref="N43:N48" si="17">IF(ISERROR(E43/SUM($E43,$L43)),"",E43/SUM($E43,$L43))</f>
        <v>7.4999999999999997E-2</v>
      </c>
      <c r="O43" s="908">
        <f t="shared" ref="O43:O48" si="18">IF(ISERROR(L43/SUM($E43,$L43)),"",L43/SUM($E43,$L43))</f>
        <v>0.92500000000000004</v>
      </c>
    </row>
    <row r="44" spans="2:15" x14ac:dyDescent="0.25">
      <c r="B44" s="903" t="s">
        <v>126</v>
      </c>
      <c r="C44" s="1072"/>
      <c r="D44" s="904">
        <f>ROUND(C44*$D$3,0)</f>
        <v>0</v>
      </c>
      <c r="E44" s="1077"/>
      <c r="F44" s="1072"/>
      <c r="G44" s="1072"/>
      <c r="H44" s="1072"/>
      <c r="I44" s="1072"/>
      <c r="J44" s="1072"/>
      <c r="K44" s="1072"/>
      <c r="L44" s="905">
        <f>SUM(F44:K44)</f>
        <v>0</v>
      </c>
      <c r="M44" s="906" t="str">
        <f>IF(D44=SUM(E44,L44),"SI","NO")</f>
        <v>SI</v>
      </c>
      <c r="N44" s="907" t="str">
        <f t="shared" si="17"/>
        <v/>
      </c>
      <c r="O44" s="908" t="str">
        <f t="shared" si="18"/>
        <v/>
      </c>
    </row>
    <row r="45" spans="2:15" x14ac:dyDescent="0.25">
      <c r="B45" s="903" t="s">
        <v>127</v>
      </c>
      <c r="C45" s="1072"/>
      <c r="D45" s="904">
        <f>ROUND(C45*$D$3,0)</f>
        <v>0</v>
      </c>
      <c r="E45" s="1077"/>
      <c r="F45" s="1072"/>
      <c r="G45" s="1072"/>
      <c r="H45" s="1072"/>
      <c r="I45" s="1072"/>
      <c r="J45" s="1072"/>
      <c r="K45" s="1072"/>
      <c r="L45" s="905">
        <f>SUM(F45:K45)</f>
        <v>0</v>
      </c>
      <c r="M45" s="906" t="str">
        <f>IF(D45=SUM(E45,L45),"SI","NO")</f>
        <v>SI</v>
      </c>
      <c r="N45" s="907" t="str">
        <f t="shared" si="17"/>
        <v/>
      </c>
      <c r="O45" s="908" t="str">
        <f t="shared" si="18"/>
        <v/>
      </c>
    </row>
    <row r="46" spans="2:15" x14ac:dyDescent="0.25">
      <c r="B46" s="903" t="s">
        <v>129</v>
      </c>
      <c r="C46" s="1072"/>
      <c r="D46" s="904">
        <f>C46*$D$3</f>
        <v>0</v>
      </c>
      <c r="E46" s="1077"/>
      <c r="F46" s="1072"/>
      <c r="G46" s="1072"/>
      <c r="H46" s="1072"/>
      <c r="I46" s="1072"/>
      <c r="J46" s="1072"/>
      <c r="K46" s="1072"/>
      <c r="L46" s="905">
        <f>SUM(F46:K46)</f>
        <v>0</v>
      </c>
      <c r="M46" s="906" t="str">
        <f>IF(D46=SUM(E46,L46),"SI","NO")</f>
        <v>SI</v>
      </c>
      <c r="N46" s="907" t="str">
        <f t="shared" si="17"/>
        <v/>
      </c>
      <c r="O46" s="908" t="str">
        <f t="shared" si="18"/>
        <v/>
      </c>
    </row>
    <row r="47" spans="2:15" x14ac:dyDescent="0.25">
      <c r="B47" s="903" t="s">
        <v>130</v>
      </c>
      <c r="C47" s="1072">
        <v>24</v>
      </c>
      <c r="D47" s="904">
        <f>C47*$D$3</f>
        <v>528</v>
      </c>
      <c r="E47" s="1077">
        <v>66</v>
      </c>
      <c r="F47" s="1072"/>
      <c r="G47" s="1072"/>
      <c r="H47" s="1072">
        <v>462</v>
      </c>
      <c r="I47" s="1072"/>
      <c r="J47" s="1072"/>
      <c r="K47" s="1072"/>
      <c r="L47" s="905">
        <f>SUM(F47:K47)</f>
        <v>462</v>
      </c>
      <c r="M47" s="906" t="str">
        <f>IF(D47=SUM(E47,L47),"SI","NO")</f>
        <v>SI</v>
      </c>
      <c r="N47" s="907">
        <f t="shared" si="17"/>
        <v>0.125</v>
      </c>
      <c r="O47" s="908">
        <f t="shared" si="18"/>
        <v>0.875</v>
      </c>
    </row>
    <row r="48" spans="2:15" ht="15.75" thickBot="1" x14ac:dyDescent="0.3">
      <c r="B48" s="923" t="s">
        <v>163</v>
      </c>
      <c r="C48" s="924">
        <f t="shared" ref="C48:L48" si="19">SUM(C43:C47)</f>
        <v>64</v>
      </c>
      <c r="D48" s="925">
        <f t="shared" si="19"/>
        <v>1408</v>
      </c>
      <c r="E48" s="926">
        <f t="shared" si="19"/>
        <v>132</v>
      </c>
      <c r="F48" s="927">
        <f t="shared" si="19"/>
        <v>176</v>
      </c>
      <c r="G48" s="927">
        <f t="shared" si="19"/>
        <v>44</v>
      </c>
      <c r="H48" s="927">
        <f t="shared" si="19"/>
        <v>550</v>
      </c>
      <c r="I48" s="927">
        <f t="shared" si="19"/>
        <v>176</v>
      </c>
      <c r="J48" s="927">
        <f t="shared" si="19"/>
        <v>330</v>
      </c>
      <c r="K48" s="927">
        <f>SUM(K43:K47)</f>
        <v>0</v>
      </c>
      <c r="L48" s="927">
        <f t="shared" si="19"/>
        <v>1276</v>
      </c>
      <c r="M48" s="928"/>
      <c r="N48" s="929">
        <f t="shared" si="17"/>
        <v>9.375E-2</v>
      </c>
      <c r="O48" s="930">
        <f t="shared" si="18"/>
        <v>0.90625</v>
      </c>
    </row>
    <row r="49" spans="2:15" x14ac:dyDescent="0.25">
      <c r="B49" s="165" t="s">
        <v>45</v>
      </c>
      <c r="C49" s="917"/>
      <c r="D49" s="918"/>
      <c r="E49" s="919"/>
      <c r="F49" s="920"/>
      <c r="G49" s="920"/>
      <c r="H49" s="920"/>
      <c r="I49" s="920"/>
      <c r="J49" s="920"/>
      <c r="K49" s="920"/>
      <c r="L49" s="899"/>
      <c r="M49" s="899"/>
      <c r="N49" s="921"/>
      <c r="O49" s="922"/>
    </row>
    <row r="50" spans="2:15" x14ac:dyDescent="0.25">
      <c r="B50" s="903" t="s">
        <v>576</v>
      </c>
      <c r="C50" s="1070">
        <v>46</v>
      </c>
      <c r="D50" s="904">
        <f>ROUND(C50*$D$3,0)</f>
        <v>1012</v>
      </c>
      <c r="E50" s="1076">
        <v>66</v>
      </c>
      <c r="F50" s="1070">
        <v>176</v>
      </c>
      <c r="G50" s="1070">
        <v>264</v>
      </c>
      <c r="H50" s="1070">
        <v>374</v>
      </c>
      <c r="I50" s="1072">
        <v>88</v>
      </c>
      <c r="J50" s="1072">
        <v>44</v>
      </c>
      <c r="K50" s="1072">
        <v>0</v>
      </c>
      <c r="L50" s="905">
        <f>SUM(F50:K50)</f>
        <v>946</v>
      </c>
      <c r="M50" s="906" t="str">
        <f>IF(D50=SUM(E50,L50),"SI","NO")</f>
        <v>SI</v>
      </c>
      <c r="N50" s="907">
        <f t="shared" ref="N50:N55" si="20">IF(ISERROR(E50/SUM($E50,$L50)),"",E50/SUM($E50,$L50))</f>
        <v>6.5217391304347824E-2</v>
      </c>
      <c r="O50" s="908">
        <f t="shared" ref="O50:O55" si="21">IF(ISERROR(L50/SUM($E50,$L50)),"",L50/SUM($E50,$L50))</f>
        <v>0.93478260869565222</v>
      </c>
    </row>
    <row r="51" spans="2:15" x14ac:dyDescent="0.25">
      <c r="B51" s="903" t="s">
        <v>126</v>
      </c>
      <c r="C51" s="1072">
        <v>0</v>
      </c>
      <c r="D51" s="904">
        <f>ROUND(C51*$D$3,0)</f>
        <v>0</v>
      </c>
      <c r="E51" s="1077">
        <v>0</v>
      </c>
      <c r="F51" s="1072"/>
      <c r="G51" s="1072"/>
      <c r="H51" s="1072">
        <v>0</v>
      </c>
      <c r="I51" s="1072"/>
      <c r="J51" s="1072"/>
      <c r="K51" s="1072"/>
      <c r="L51" s="905">
        <f>SUM(F51:K51)</f>
        <v>0</v>
      </c>
      <c r="M51" s="906" t="str">
        <f>IF(D51=SUM(E51,L51),"SI","NO")</f>
        <v>SI</v>
      </c>
      <c r="N51" s="907" t="str">
        <f t="shared" si="20"/>
        <v/>
      </c>
      <c r="O51" s="908" t="str">
        <f t="shared" si="21"/>
        <v/>
      </c>
    </row>
    <row r="52" spans="2:15" x14ac:dyDescent="0.25">
      <c r="B52" s="903" t="s">
        <v>127</v>
      </c>
      <c r="C52" s="1072">
        <v>8</v>
      </c>
      <c r="D52" s="904">
        <f>ROUND(C52*$D$3,0)</f>
        <v>176</v>
      </c>
      <c r="E52" s="1077">
        <v>22</v>
      </c>
      <c r="F52" s="1072"/>
      <c r="G52" s="1072"/>
      <c r="H52" s="1072">
        <v>154</v>
      </c>
      <c r="I52" s="1072"/>
      <c r="J52" s="1072"/>
      <c r="K52" s="1072"/>
      <c r="L52" s="905">
        <f>SUM(F52:K52)</f>
        <v>154</v>
      </c>
      <c r="M52" s="906" t="str">
        <f>IF(D52=SUM(E52,L52),"SI","NO")</f>
        <v>SI</v>
      </c>
      <c r="N52" s="907">
        <f t="shared" si="20"/>
        <v>0.125</v>
      </c>
      <c r="O52" s="908">
        <f t="shared" si="21"/>
        <v>0.875</v>
      </c>
    </row>
    <row r="53" spans="2:15" x14ac:dyDescent="0.25">
      <c r="B53" s="903" t="s">
        <v>129</v>
      </c>
      <c r="C53" s="1072">
        <v>24</v>
      </c>
      <c r="D53" s="904">
        <f>C53*$D$3</f>
        <v>528</v>
      </c>
      <c r="E53" s="1077">
        <v>66</v>
      </c>
      <c r="F53" s="1072"/>
      <c r="G53" s="1072"/>
      <c r="H53" s="1072">
        <v>462</v>
      </c>
      <c r="I53" s="1072"/>
      <c r="J53" s="1072"/>
      <c r="K53" s="1072"/>
      <c r="L53" s="905">
        <f>SUM(F53:K53)</f>
        <v>462</v>
      </c>
      <c r="M53" s="906" t="str">
        <f>IF(D53=SUM(E53,L53),"SI","NO")</f>
        <v>SI</v>
      </c>
      <c r="N53" s="907">
        <f t="shared" si="20"/>
        <v>0.125</v>
      </c>
      <c r="O53" s="908">
        <f t="shared" si="21"/>
        <v>0.875</v>
      </c>
    </row>
    <row r="54" spans="2:15" x14ac:dyDescent="0.25">
      <c r="B54" s="903" t="s">
        <v>130</v>
      </c>
      <c r="C54" s="1072">
        <v>16</v>
      </c>
      <c r="D54" s="904">
        <f>C54*$D$3</f>
        <v>352</v>
      </c>
      <c r="E54" s="1077">
        <v>44</v>
      </c>
      <c r="F54" s="1072"/>
      <c r="G54" s="1072"/>
      <c r="H54" s="1072">
        <v>308</v>
      </c>
      <c r="I54" s="1072"/>
      <c r="J54" s="1072"/>
      <c r="K54" s="1072"/>
      <c r="L54" s="905">
        <f>SUM(F54:K54)</f>
        <v>308</v>
      </c>
      <c r="M54" s="906" t="str">
        <f>IF(D54=SUM(E54,L54),"SI","NO")</f>
        <v>SI</v>
      </c>
      <c r="N54" s="907">
        <f t="shared" si="20"/>
        <v>0.125</v>
      </c>
      <c r="O54" s="908">
        <f t="shared" si="21"/>
        <v>0.875</v>
      </c>
    </row>
    <row r="55" spans="2:15" ht="15.75" thickBot="1" x14ac:dyDescent="0.3">
      <c r="B55" s="923" t="s">
        <v>164</v>
      </c>
      <c r="C55" s="924">
        <f t="shared" ref="C55:L55" si="22">SUM(C50:C54)</f>
        <v>94</v>
      </c>
      <c r="D55" s="925">
        <f t="shared" si="22"/>
        <v>2068</v>
      </c>
      <c r="E55" s="926">
        <f t="shared" si="22"/>
        <v>198</v>
      </c>
      <c r="F55" s="927">
        <f t="shared" si="22"/>
        <v>176</v>
      </c>
      <c r="G55" s="927">
        <f t="shared" si="22"/>
        <v>264</v>
      </c>
      <c r="H55" s="927">
        <f t="shared" si="22"/>
        <v>1298</v>
      </c>
      <c r="I55" s="927">
        <f t="shared" si="22"/>
        <v>88</v>
      </c>
      <c r="J55" s="927">
        <f t="shared" si="22"/>
        <v>44</v>
      </c>
      <c r="K55" s="927">
        <f>SUM(K50:K54)</f>
        <v>0</v>
      </c>
      <c r="L55" s="927">
        <f t="shared" si="22"/>
        <v>1870</v>
      </c>
      <c r="M55" s="928"/>
      <c r="N55" s="929">
        <f t="shared" si="20"/>
        <v>9.5744680851063829E-2</v>
      </c>
      <c r="O55" s="930">
        <f t="shared" si="21"/>
        <v>0.9042553191489362</v>
      </c>
    </row>
    <row r="56" spans="2:15" x14ac:dyDescent="0.25">
      <c r="B56" s="165" t="s">
        <v>46</v>
      </c>
      <c r="C56" s="917"/>
      <c r="D56" s="918"/>
      <c r="E56" s="919"/>
      <c r="F56" s="920"/>
      <c r="G56" s="920"/>
      <c r="H56" s="920"/>
      <c r="I56" s="920"/>
      <c r="J56" s="920"/>
      <c r="K56" s="920"/>
      <c r="L56" s="899"/>
      <c r="M56" s="899"/>
      <c r="N56" s="921"/>
      <c r="O56" s="922"/>
    </row>
    <row r="57" spans="2:15" x14ac:dyDescent="0.25">
      <c r="B57" s="903" t="s">
        <v>576</v>
      </c>
      <c r="C57" s="1072">
        <v>8</v>
      </c>
      <c r="D57" s="904">
        <f>ROUND(C57*$D$3,0)</f>
        <v>176</v>
      </c>
      <c r="E57" s="1076"/>
      <c r="F57" s="1070"/>
      <c r="G57" s="1070"/>
      <c r="H57" s="1070">
        <v>110</v>
      </c>
      <c r="I57" s="1072">
        <v>44</v>
      </c>
      <c r="J57" s="1072">
        <v>22</v>
      </c>
      <c r="K57" s="1072"/>
      <c r="L57" s="905">
        <f>SUM(F57:K57)</f>
        <v>176</v>
      </c>
      <c r="M57" s="906" t="str">
        <f>IF(D57=SUM(E57,L57),"SI","NO")</f>
        <v>SI</v>
      </c>
      <c r="N57" s="907">
        <f t="shared" ref="N57:N62" si="23">IF(ISERROR(E57/SUM($E57,$L57)),"",E57/SUM($E57,$L57))</f>
        <v>0</v>
      </c>
      <c r="O57" s="908">
        <f t="shared" ref="O57:O62" si="24">IF(ISERROR(L57/SUM($E57,$L57)),"",L57/SUM($E57,$L57))</f>
        <v>1</v>
      </c>
    </row>
    <row r="58" spans="2:15" x14ac:dyDescent="0.25">
      <c r="B58" s="903" t="s">
        <v>126</v>
      </c>
      <c r="C58" s="1072"/>
      <c r="D58" s="904">
        <f>ROUND(C58*$D$3,0)</f>
        <v>0</v>
      </c>
      <c r="E58" s="1077"/>
      <c r="F58" s="1072"/>
      <c r="G58" s="1072"/>
      <c r="H58" s="1072"/>
      <c r="I58" s="1072"/>
      <c r="J58" s="1072"/>
      <c r="K58" s="1072"/>
      <c r="L58" s="905">
        <f>SUM(F58:K58)</f>
        <v>0</v>
      </c>
      <c r="M58" s="906" t="str">
        <f>IF(D58=SUM(E58,L58),"SI","NO")</f>
        <v>SI</v>
      </c>
      <c r="N58" s="907" t="str">
        <f t="shared" si="23"/>
        <v/>
      </c>
      <c r="O58" s="908" t="str">
        <f t="shared" si="24"/>
        <v/>
      </c>
    </row>
    <row r="59" spans="2:15" x14ac:dyDescent="0.25">
      <c r="B59" s="903" t="s">
        <v>127</v>
      </c>
      <c r="C59" s="1072"/>
      <c r="D59" s="904">
        <f>ROUND(C59*$D$3,0)</f>
        <v>0</v>
      </c>
      <c r="E59" s="1077"/>
      <c r="F59" s="1072"/>
      <c r="G59" s="1072"/>
      <c r="H59" s="1072"/>
      <c r="I59" s="1072"/>
      <c r="J59" s="1072"/>
      <c r="K59" s="1072"/>
      <c r="L59" s="905">
        <f>SUM(F59:K59)</f>
        <v>0</v>
      </c>
      <c r="M59" s="906" t="str">
        <f>IF(D59=SUM(E59,L59),"SI","NO")</f>
        <v>SI</v>
      </c>
      <c r="N59" s="907" t="str">
        <f t="shared" si="23"/>
        <v/>
      </c>
      <c r="O59" s="908" t="str">
        <f t="shared" si="24"/>
        <v/>
      </c>
    </row>
    <row r="60" spans="2:15" x14ac:dyDescent="0.25">
      <c r="B60" s="903" t="s">
        <v>129</v>
      </c>
      <c r="C60" s="1072">
        <v>16</v>
      </c>
      <c r="D60" s="904">
        <f>C60*$D$3</f>
        <v>352</v>
      </c>
      <c r="E60" s="1077">
        <v>44</v>
      </c>
      <c r="F60" s="1072"/>
      <c r="G60" s="1072"/>
      <c r="H60" s="1072">
        <v>308</v>
      </c>
      <c r="I60" s="1072"/>
      <c r="J60" s="1072"/>
      <c r="K60" s="1072"/>
      <c r="L60" s="905">
        <f>SUM(F60:K60)</f>
        <v>308</v>
      </c>
      <c r="M60" s="906" t="str">
        <f>IF(D60=SUM(E60,L60),"SI","NO")</f>
        <v>SI</v>
      </c>
      <c r="N60" s="907">
        <f t="shared" si="23"/>
        <v>0.125</v>
      </c>
      <c r="O60" s="908">
        <f t="shared" si="24"/>
        <v>0.875</v>
      </c>
    </row>
    <row r="61" spans="2:15" x14ac:dyDescent="0.25">
      <c r="B61" s="903" t="s">
        <v>130</v>
      </c>
      <c r="C61" s="1072"/>
      <c r="D61" s="904">
        <f>C61*$D$3</f>
        <v>0</v>
      </c>
      <c r="E61" s="1077"/>
      <c r="F61" s="1072"/>
      <c r="G61" s="1072"/>
      <c r="H61" s="1072"/>
      <c r="I61" s="1072"/>
      <c r="J61" s="1072"/>
      <c r="K61" s="1072"/>
      <c r="L61" s="905">
        <f>SUM(F61:K61)</f>
        <v>0</v>
      </c>
      <c r="M61" s="906" t="str">
        <f>IF(D61=SUM(E61,L61),"SI","NO")</f>
        <v>SI</v>
      </c>
      <c r="N61" s="907" t="str">
        <f t="shared" si="23"/>
        <v/>
      </c>
      <c r="O61" s="908" t="str">
        <f t="shared" si="24"/>
        <v/>
      </c>
    </row>
    <row r="62" spans="2:15" ht="15.75" thickBot="1" x14ac:dyDescent="0.3">
      <c r="B62" s="923" t="s">
        <v>165</v>
      </c>
      <c r="C62" s="924">
        <f t="shared" ref="C62:L62" si="25">SUM(C57:C61)</f>
        <v>24</v>
      </c>
      <c r="D62" s="925">
        <f t="shared" si="25"/>
        <v>528</v>
      </c>
      <c r="E62" s="926">
        <f t="shared" si="25"/>
        <v>44</v>
      </c>
      <c r="F62" s="927">
        <f t="shared" si="25"/>
        <v>0</v>
      </c>
      <c r="G62" s="927">
        <f t="shared" si="25"/>
        <v>0</v>
      </c>
      <c r="H62" s="927">
        <f t="shared" si="25"/>
        <v>418</v>
      </c>
      <c r="I62" s="927">
        <f t="shared" si="25"/>
        <v>44</v>
      </c>
      <c r="J62" s="927">
        <f t="shared" si="25"/>
        <v>22</v>
      </c>
      <c r="K62" s="927">
        <f>SUM(K57:K61)</f>
        <v>0</v>
      </c>
      <c r="L62" s="927">
        <f t="shared" si="25"/>
        <v>484</v>
      </c>
      <c r="M62" s="928"/>
      <c r="N62" s="929">
        <f t="shared" si="23"/>
        <v>8.3333333333333329E-2</v>
      </c>
      <c r="O62" s="930">
        <f t="shared" si="24"/>
        <v>0.91666666666666663</v>
      </c>
    </row>
    <row r="63" spans="2:15" x14ac:dyDescent="0.25">
      <c r="B63" s="931" t="s">
        <v>47</v>
      </c>
      <c r="C63" s="917"/>
      <c r="D63" s="918"/>
      <c r="E63" s="919"/>
      <c r="F63" s="920"/>
      <c r="G63" s="920"/>
      <c r="H63" s="920"/>
      <c r="I63" s="920"/>
      <c r="J63" s="920"/>
      <c r="K63" s="920"/>
      <c r="L63" s="899"/>
      <c r="M63" s="899"/>
      <c r="N63" s="921"/>
      <c r="O63" s="922"/>
    </row>
    <row r="64" spans="2:15" x14ac:dyDescent="0.25">
      <c r="B64" s="903" t="s">
        <v>576</v>
      </c>
      <c r="C64" s="876"/>
      <c r="D64" s="904">
        <f>ROUND(C64*$D$3,0)</f>
        <v>0</v>
      </c>
      <c r="E64" s="657"/>
      <c r="F64" s="655"/>
      <c r="G64" s="655"/>
      <c r="H64" s="655"/>
      <c r="I64" s="658"/>
      <c r="J64" s="658"/>
      <c r="K64" s="658"/>
      <c r="L64" s="905">
        <f>SUM(F64:K64)</f>
        <v>0</v>
      </c>
      <c r="M64" s="906" t="str">
        <f>IF(D64=SUM(E64,L64),"SI","NO")</f>
        <v>SI</v>
      </c>
      <c r="N64" s="907" t="str">
        <f t="shared" ref="N64:N69" si="26">IF(ISERROR(E64/SUM($E64,$L64)),"",E64/SUM($E64,$L64))</f>
        <v/>
      </c>
      <c r="O64" s="908" t="str">
        <f t="shared" ref="O64:O69" si="27">IF(ISERROR(L64/SUM($E64,$L64)),"",L64/SUM($E64,$L64))</f>
        <v/>
      </c>
    </row>
    <row r="65" spans="2:15" x14ac:dyDescent="0.25">
      <c r="B65" s="903" t="s">
        <v>126</v>
      </c>
      <c r="C65" s="876"/>
      <c r="D65" s="904">
        <f>ROUND(C65*$D$3,0)</f>
        <v>0</v>
      </c>
      <c r="E65" s="657"/>
      <c r="F65" s="655"/>
      <c r="G65" s="655"/>
      <c r="H65" s="655"/>
      <c r="I65" s="658"/>
      <c r="J65" s="658"/>
      <c r="K65" s="658"/>
      <c r="L65" s="905">
        <f>SUM(F65:K65)</f>
        <v>0</v>
      </c>
      <c r="M65" s="906" t="str">
        <f>IF(D65=SUM(E65,L65),"SI","NO")</f>
        <v>SI</v>
      </c>
      <c r="N65" s="907" t="str">
        <f t="shared" si="26"/>
        <v/>
      </c>
      <c r="O65" s="908" t="str">
        <f t="shared" si="27"/>
        <v/>
      </c>
    </row>
    <row r="66" spans="2:15" x14ac:dyDescent="0.25">
      <c r="B66" s="903" t="s">
        <v>127</v>
      </c>
      <c r="C66" s="876"/>
      <c r="D66" s="904">
        <f>ROUND(C66*$D$3,0)</f>
        <v>0</v>
      </c>
      <c r="E66" s="657"/>
      <c r="F66" s="655"/>
      <c r="G66" s="655"/>
      <c r="H66" s="655"/>
      <c r="I66" s="658"/>
      <c r="J66" s="658"/>
      <c r="K66" s="658"/>
      <c r="L66" s="905">
        <f>SUM(F66:K66)</f>
        <v>0</v>
      </c>
      <c r="M66" s="906" t="str">
        <f>IF(D66=SUM(E66,L66),"SI","NO")</f>
        <v>SI</v>
      </c>
      <c r="N66" s="907" t="str">
        <f t="shared" si="26"/>
        <v/>
      </c>
      <c r="O66" s="908" t="str">
        <f t="shared" si="27"/>
        <v/>
      </c>
    </row>
    <row r="67" spans="2:15" x14ac:dyDescent="0.25">
      <c r="B67" s="903" t="s">
        <v>129</v>
      </c>
      <c r="C67" s="876"/>
      <c r="D67" s="904">
        <f>C67*$D$3</f>
        <v>0</v>
      </c>
      <c r="E67" s="657"/>
      <c r="F67" s="655"/>
      <c r="G67" s="655"/>
      <c r="H67" s="655"/>
      <c r="I67" s="658"/>
      <c r="J67" s="658"/>
      <c r="K67" s="658"/>
      <c r="L67" s="905">
        <f>SUM(F67:K67)</f>
        <v>0</v>
      </c>
      <c r="M67" s="906" t="str">
        <f>IF(D67=SUM(E67,L67),"SI","NO")</f>
        <v>SI</v>
      </c>
      <c r="N67" s="907" t="str">
        <f t="shared" si="26"/>
        <v/>
      </c>
      <c r="O67" s="908" t="str">
        <f t="shared" si="27"/>
        <v/>
      </c>
    </row>
    <row r="68" spans="2:15" x14ac:dyDescent="0.25">
      <c r="B68" s="903" t="s">
        <v>130</v>
      </c>
      <c r="C68" s="876"/>
      <c r="D68" s="904">
        <f>C68*$D$3</f>
        <v>0</v>
      </c>
      <c r="E68" s="657"/>
      <c r="F68" s="655"/>
      <c r="G68" s="655"/>
      <c r="H68" s="655"/>
      <c r="I68" s="658"/>
      <c r="J68" s="658"/>
      <c r="K68" s="658"/>
      <c r="L68" s="905">
        <f>SUM(F68:K68)</f>
        <v>0</v>
      </c>
      <c r="M68" s="906" t="str">
        <f>IF(D68=SUM(E68,L68),"SI","NO")</f>
        <v>SI</v>
      </c>
      <c r="N68" s="907" t="str">
        <f t="shared" si="26"/>
        <v/>
      </c>
      <c r="O68" s="908" t="str">
        <f t="shared" si="27"/>
        <v/>
      </c>
    </row>
    <row r="69" spans="2:15" ht="15.75" thickBot="1" x14ac:dyDescent="0.3">
      <c r="B69" s="923" t="s">
        <v>166</v>
      </c>
      <c r="C69" s="924">
        <f t="shared" ref="C69:L69" si="28">SUM(C64:C68)</f>
        <v>0</v>
      </c>
      <c r="D69" s="925">
        <f t="shared" si="28"/>
        <v>0</v>
      </c>
      <c r="E69" s="926">
        <f t="shared" si="28"/>
        <v>0</v>
      </c>
      <c r="F69" s="927">
        <f t="shared" si="28"/>
        <v>0</v>
      </c>
      <c r="G69" s="927">
        <f t="shared" si="28"/>
        <v>0</v>
      </c>
      <c r="H69" s="927">
        <f t="shared" si="28"/>
        <v>0</v>
      </c>
      <c r="I69" s="927">
        <f t="shared" si="28"/>
        <v>0</v>
      </c>
      <c r="J69" s="927">
        <f t="shared" si="28"/>
        <v>0</v>
      </c>
      <c r="K69" s="927">
        <f>SUM(K64:K68)</f>
        <v>0</v>
      </c>
      <c r="L69" s="927">
        <f t="shared" si="28"/>
        <v>0</v>
      </c>
      <c r="M69" s="928"/>
      <c r="N69" s="929" t="str">
        <f t="shared" si="26"/>
        <v/>
      </c>
      <c r="O69" s="930" t="str">
        <f t="shared" si="27"/>
        <v/>
      </c>
    </row>
    <row r="70" spans="2:15" x14ac:dyDescent="0.25">
      <c r="B70" s="931" t="s">
        <v>681</v>
      </c>
      <c r="C70" s="917"/>
      <c r="D70" s="918"/>
      <c r="E70" s="919"/>
      <c r="F70" s="920"/>
      <c r="G70" s="920"/>
      <c r="H70" s="920"/>
      <c r="I70" s="920"/>
      <c r="J70" s="920"/>
      <c r="K70" s="920"/>
      <c r="L70" s="899"/>
      <c r="M70" s="899"/>
      <c r="N70" s="921"/>
      <c r="O70" s="922"/>
    </row>
    <row r="71" spans="2:15" x14ac:dyDescent="0.2">
      <c r="B71" s="932" t="s">
        <v>122</v>
      </c>
      <c r="C71" s="656"/>
      <c r="D71" s="904">
        <f>ROUND(C71*$D$3,0)</f>
        <v>0</v>
      </c>
      <c r="E71" s="657"/>
      <c r="F71" s="655"/>
      <c r="G71" s="655"/>
      <c r="H71" s="655"/>
      <c r="I71" s="658"/>
      <c r="J71" s="658"/>
      <c r="K71" s="658"/>
      <c r="L71" s="905">
        <f>SUM(F71:K71)</f>
        <v>0</v>
      </c>
      <c r="M71" s="906" t="str">
        <f>IF(D71=SUM(E71,L71),"SI","NO")</f>
        <v>SI</v>
      </c>
      <c r="N71" s="907" t="str">
        <f t="shared" ref="N71:N76" si="29">IF(ISERROR(E71/SUM($E71,$L71)),"",E71/SUM($E71,$L71))</f>
        <v/>
      </c>
      <c r="O71" s="908" t="str">
        <f t="shared" ref="O71:O76" si="30">IF(ISERROR(L71/SUM($E71,$L71)),"",L71/SUM($E71,$L71))</f>
        <v/>
      </c>
    </row>
    <row r="72" spans="2:15" x14ac:dyDescent="0.2">
      <c r="B72" s="932" t="s">
        <v>126</v>
      </c>
      <c r="C72" s="656"/>
      <c r="D72" s="904">
        <f>ROUND(C72*$D$3,0)</f>
        <v>0</v>
      </c>
      <c r="E72" s="657"/>
      <c r="F72" s="655"/>
      <c r="G72" s="655"/>
      <c r="H72" s="655"/>
      <c r="I72" s="658"/>
      <c r="J72" s="658"/>
      <c r="K72" s="658"/>
      <c r="L72" s="905">
        <f>SUM(F72:K72)</f>
        <v>0</v>
      </c>
      <c r="M72" s="906" t="str">
        <f>IF(D72=SUM(E72,L72),"SI","NO")</f>
        <v>SI</v>
      </c>
      <c r="N72" s="907" t="str">
        <f t="shared" si="29"/>
        <v/>
      </c>
      <c r="O72" s="908" t="str">
        <f t="shared" si="30"/>
        <v/>
      </c>
    </row>
    <row r="73" spans="2:15" x14ac:dyDescent="0.2">
      <c r="B73" s="932" t="s">
        <v>127</v>
      </c>
      <c r="C73" s="656"/>
      <c r="D73" s="904">
        <f>ROUND(C73*$D$3,0)</f>
        <v>0</v>
      </c>
      <c r="E73" s="657"/>
      <c r="F73" s="655"/>
      <c r="G73" s="655"/>
      <c r="H73" s="655"/>
      <c r="I73" s="658"/>
      <c r="J73" s="658"/>
      <c r="K73" s="658"/>
      <c r="L73" s="905">
        <f>SUM(F73:K73)</f>
        <v>0</v>
      </c>
      <c r="M73" s="906" t="str">
        <f>IF(D73=SUM(E73,L73),"SI","NO")</f>
        <v>SI</v>
      </c>
      <c r="N73" s="907" t="str">
        <f t="shared" si="29"/>
        <v/>
      </c>
      <c r="O73" s="908" t="str">
        <f t="shared" si="30"/>
        <v/>
      </c>
    </row>
    <row r="74" spans="2:15" x14ac:dyDescent="0.2">
      <c r="B74" s="932" t="s">
        <v>129</v>
      </c>
      <c r="C74" s="656"/>
      <c r="D74" s="904">
        <f>C74*$D$3</f>
        <v>0</v>
      </c>
      <c r="E74" s="657"/>
      <c r="F74" s="655"/>
      <c r="G74" s="655"/>
      <c r="H74" s="655"/>
      <c r="I74" s="658"/>
      <c r="J74" s="658"/>
      <c r="K74" s="658"/>
      <c r="L74" s="905">
        <f>SUM(F74:K74)</f>
        <v>0</v>
      </c>
      <c r="M74" s="906" t="str">
        <f>IF(D74=SUM(E74,L74),"SI","NO")</f>
        <v>SI</v>
      </c>
      <c r="N74" s="907" t="str">
        <f t="shared" si="29"/>
        <v/>
      </c>
      <c r="O74" s="908" t="str">
        <f t="shared" si="30"/>
        <v/>
      </c>
    </row>
    <row r="75" spans="2:15" x14ac:dyDescent="0.2">
      <c r="B75" s="932" t="s">
        <v>130</v>
      </c>
      <c r="C75" s="656"/>
      <c r="D75" s="904">
        <f>C75*$D$3</f>
        <v>0</v>
      </c>
      <c r="E75" s="657"/>
      <c r="F75" s="655"/>
      <c r="G75" s="655"/>
      <c r="H75" s="655"/>
      <c r="I75" s="658"/>
      <c r="J75" s="658"/>
      <c r="K75" s="658"/>
      <c r="L75" s="905">
        <f>SUM(F75:K75)</f>
        <v>0</v>
      </c>
      <c r="M75" s="906" t="str">
        <f>IF(D75=SUM(E75,L75),"SI","NO")</f>
        <v>SI</v>
      </c>
      <c r="N75" s="907" t="str">
        <f t="shared" si="29"/>
        <v/>
      </c>
      <c r="O75" s="908" t="str">
        <f t="shared" si="30"/>
        <v/>
      </c>
    </row>
    <row r="76" spans="2:15" ht="15.75" thickBot="1" x14ac:dyDescent="0.25">
      <c r="B76" s="933" t="s">
        <v>123</v>
      </c>
      <c r="C76" s="924">
        <f t="shared" ref="C76:L76" si="31">SUM(C71:C75)</f>
        <v>0</v>
      </c>
      <c r="D76" s="925">
        <f t="shared" si="31"/>
        <v>0</v>
      </c>
      <c r="E76" s="926">
        <f t="shared" si="31"/>
        <v>0</v>
      </c>
      <c r="F76" s="927">
        <f t="shared" si="31"/>
        <v>0</v>
      </c>
      <c r="G76" s="927">
        <f t="shared" si="31"/>
        <v>0</v>
      </c>
      <c r="H76" s="927">
        <f t="shared" si="31"/>
        <v>0</v>
      </c>
      <c r="I76" s="927">
        <f t="shared" si="31"/>
        <v>0</v>
      </c>
      <c r="J76" s="927">
        <f t="shared" si="31"/>
        <v>0</v>
      </c>
      <c r="K76" s="927">
        <f t="shared" si="31"/>
        <v>0</v>
      </c>
      <c r="L76" s="927">
        <f t="shared" si="31"/>
        <v>0</v>
      </c>
      <c r="M76" s="928"/>
      <c r="N76" s="929" t="str">
        <f t="shared" si="29"/>
        <v/>
      </c>
      <c r="O76" s="930" t="str">
        <f t="shared" si="30"/>
        <v/>
      </c>
    </row>
    <row r="77" spans="2:15" x14ac:dyDescent="0.25">
      <c r="B77" s="934" t="s">
        <v>576</v>
      </c>
      <c r="C77" s="935">
        <f>SUM(C7,C15,C22,C29,C36,C43,C50,C57,C64,C71)</f>
        <v>144</v>
      </c>
      <c r="D77" s="936">
        <f t="shared" ref="D77:L77" si="32">SUM(D7,D15,D22,D29,D36,D43,D50,D57,D64,D71)</f>
        <v>3168</v>
      </c>
      <c r="E77" s="937">
        <f t="shared" si="32"/>
        <v>242</v>
      </c>
      <c r="F77" s="938">
        <f t="shared" si="32"/>
        <v>792</v>
      </c>
      <c r="G77" s="938">
        <f t="shared" si="32"/>
        <v>418</v>
      </c>
      <c r="H77" s="938">
        <f t="shared" si="32"/>
        <v>682</v>
      </c>
      <c r="I77" s="938">
        <f t="shared" si="32"/>
        <v>308</v>
      </c>
      <c r="J77" s="938">
        <f t="shared" si="32"/>
        <v>704</v>
      </c>
      <c r="K77" s="938">
        <f t="shared" si="32"/>
        <v>22</v>
      </c>
      <c r="L77" s="938">
        <f t="shared" si="32"/>
        <v>2926</v>
      </c>
      <c r="M77" s="939" t="str">
        <f>IF(C77='9_Inform_Gral_RRHH'!H5,"SI","NO")</f>
        <v>NO</v>
      </c>
      <c r="N77" s="940">
        <f t="shared" ref="N77:N83" si="33">IF(ISERROR(E77/SUM($E77,$L77)),"",E77/SUM($E77,$L77))</f>
        <v>7.6388888888888895E-2</v>
      </c>
      <c r="O77" s="941">
        <f t="shared" ref="O77:O83" si="34">IF(ISERROR(L77/SUM($E77,$L77)),"",L77/SUM($E77,$L77))</f>
        <v>0.92361111111111116</v>
      </c>
    </row>
    <row r="78" spans="2:15" x14ac:dyDescent="0.25">
      <c r="B78" s="942" t="s">
        <v>126</v>
      </c>
      <c r="C78" s="943">
        <f>SUM(C8,C16,C23,C30,C37,C44,C51,C58,C65,C72)</f>
        <v>20</v>
      </c>
      <c r="D78" s="944">
        <f t="shared" ref="D78:L78" si="35">SUM(D8,D16,D23,D30,D37,D44,D51,D58,D65,D72)</f>
        <v>440</v>
      </c>
      <c r="E78" s="945">
        <f t="shared" si="35"/>
        <v>132</v>
      </c>
      <c r="F78" s="946">
        <f t="shared" si="35"/>
        <v>308</v>
      </c>
      <c r="G78" s="946">
        <f t="shared" si="35"/>
        <v>0</v>
      </c>
      <c r="H78" s="946">
        <f t="shared" si="35"/>
        <v>0</v>
      </c>
      <c r="I78" s="946">
        <f t="shared" si="35"/>
        <v>0</v>
      </c>
      <c r="J78" s="946">
        <f t="shared" si="35"/>
        <v>0</v>
      </c>
      <c r="K78" s="946">
        <f t="shared" si="35"/>
        <v>0</v>
      </c>
      <c r="L78" s="946">
        <f t="shared" si="35"/>
        <v>308</v>
      </c>
      <c r="M78" s="947" t="str">
        <f>IF(C78='9_Inform_Gral_RRHH'!H6,"SI","NO")</f>
        <v>NO</v>
      </c>
      <c r="N78" s="907">
        <f>IF(ISERROR(E78/SUM($E78,$L78)),"",E78/SUM($E78,$L78))</f>
        <v>0.3</v>
      </c>
      <c r="O78" s="908">
        <f>IF(ISERROR(L78/SUM($E78,$L78)),"",L78/SUM($E78,$L78))</f>
        <v>0.7</v>
      </c>
    </row>
    <row r="79" spans="2:15" x14ac:dyDescent="0.25">
      <c r="B79" s="942" t="s">
        <v>127</v>
      </c>
      <c r="C79" s="943">
        <f>SUM(C9,C17,C24,C31,C38,C45,C52,C59,C66,C73)</f>
        <v>48</v>
      </c>
      <c r="D79" s="944">
        <f t="shared" ref="D79:L79" si="36">SUM(D9,D17,D24,D31,D38,D45,D52,D59,D66,D73)</f>
        <v>1056</v>
      </c>
      <c r="E79" s="945">
        <f t="shared" si="36"/>
        <v>88</v>
      </c>
      <c r="F79" s="946">
        <f t="shared" si="36"/>
        <v>0</v>
      </c>
      <c r="G79" s="946">
        <f t="shared" si="36"/>
        <v>330</v>
      </c>
      <c r="H79" s="946">
        <f t="shared" si="36"/>
        <v>638</v>
      </c>
      <c r="I79" s="946">
        <f t="shared" si="36"/>
        <v>0</v>
      </c>
      <c r="J79" s="946">
        <f t="shared" si="36"/>
        <v>0</v>
      </c>
      <c r="K79" s="946">
        <f t="shared" si="36"/>
        <v>0</v>
      </c>
      <c r="L79" s="946">
        <f t="shared" si="36"/>
        <v>968</v>
      </c>
      <c r="M79" s="947" t="str">
        <f>IF(C79='9_Inform_Gral_RRHH'!H7,"SI","NO")</f>
        <v>NO</v>
      </c>
      <c r="N79" s="907">
        <f>IF(ISERROR(E79/SUM($E79,$L79)),"",E79/SUM($E79,$L79))</f>
        <v>8.3333333333333329E-2</v>
      </c>
      <c r="O79" s="908">
        <f>IF(ISERROR(L79/SUM($E79,$L79)),"",L79/SUM($E79,$L79))</f>
        <v>0.91666666666666663</v>
      </c>
    </row>
    <row r="80" spans="2:15" x14ac:dyDescent="0.25">
      <c r="B80" s="942" t="s">
        <v>128</v>
      </c>
      <c r="C80" s="943">
        <f>C10</f>
        <v>10</v>
      </c>
      <c r="D80" s="944">
        <f t="shared" ref="D80:L80" si="37">D10</f>
        <v>220</v>
      </c>
      <c r="E80" s="945">
        <f t="shared" si="37"/>
        <v>22</v>
      </c>
      <c r="F80" s="946">
        <f t="shared" si="37"/>
        <v>198</v>
      </c>
      <c r="G80" s="946">
        <f t="shared" si="37"/>
        <v>0</v>
      </c>
      <c r="H80" s="946">
        <f t="shared" si="37"/>
        <v>0</v>
      </c>
      <c r="I80" s="946">
        <f t="shared" si="37"/>
        <v>0</v>
      </c>
      <c r="J80" s="946">
        <f t="shared" si="37"/>
        <v>0</v>
      </c>
      <c r="K80" s="946">
        <f t="shared" si="37"/>
        <v>0</v>
      </c>
      <c r="L80" s="946">
        <f t="shared" si="37"/>
        <v>198</v>
      </c>
      <c r="M80" s="947" t="str">
        <f>IF(C80='9_Inform_Gral_RRHH'!H8,"SI","NO")</f>
        <v>SI</v>
      </c>
      <c r="N80" s="907">
        <f t="shared" si="33"/>
        <v>0.1</v>
      </c>
      <c r="O80" s="908">
        <f t="shared" si="34"/>
        <v>0.9</v>
      </c>
    </row>
    <row r="81" spans="2:15" x14ac:dyDescent="0.25">
      <c r="B81" s="942" t="s">
        <v>129</v>
      </c>
      <c r="C81" s="943">
        <f>SUM(C11,C18,C25,C32,C39,C46,C53,C60,C67,C74)</f>
        <v>104</v>
      </c>
      <c r="D81" s="944">
        <f t="shared" ref="D81:L81" si="38">SUM(D11,D18,D25,D32,D39,D46,D53,D60,D67,D74)</f>
        <v>2288</v>
      </c>
      <c r="E81" s="945">
        <f t="shared" si="38"/>
        <v>374</v>
      </c>
      <c r="F81" s="946">
        <f t="shared" si="38"/>
        <v>132</v>
      </c>
      <c r="G81" s="946">
        <f t="shared" si="38"/>
        <v>594</v>
      </c>
      <c r="H81" s="946">
        <f t="shared" si="38"/>
        <v>1188</v>
      </c>
      <c r="I81" s="946">
        <f t="shared" si="38"/>
        <v>0</v>
      </c>
      <c r="J81" s="946">
        <f t="shared" si="38"/>
        <v>0</v>
      </c>
      <c r="K81" s="946">
        <f t="shared" si="38"/>
        <v>0</v>
      </c>
      <c r="L81" s="946">
        <f t="shared" si="38"/>
        <v>1914</v>
      </c>
      <c r="M81" s="947" t="str">
        <f>IF(C81='9_Inform_Gral_RRHH'!H9,"SI","NO")</f>
        <v>NO</v>
      </c>
      <c r="N81" s="907">
        <f t="shared" si="33"/>
        <v>0.16346153846153846</v>
      </c>
      <c r="O81" s="908">
        <f t="shared" si="34"/>
        <v>0.83653846153846156</v>
      </c>
    </row>
    <row r="82" spans="2:15" ht="15.75" thickBot="1" x14ac:dyDescent="0.3">
      <c r="B82" s="948" t="s">
        <v>130</v>
      </c>
      <c r="C82" s="949">
        <f>SUM(C12,C19,C26,C33,C40,C47,C54,C61,C68,C75)</f>
        <v>152</v>
      </c>
      <c r="D82" s="950">
        <f t="shared" ref="D82:L82" si="39">SUM(D12,D19,D26,D33,D40,D47,D54,D61,D68,D75)</f>
        <v>3344</v>
      </c>
      <c r="E82" s="951">
        <f t="shared" si="39"/>
        <v>440</v>
      </c>
      <c r="F82" s="952">
        <f t="shared" si="39"/>
        <v>770</v>
      </c>
      <c r="G82" s="952">
        <f t="shared" si="39"/>
        <v>594</v>
      </c>
      <c r="H82" s="952">
        <f t="shared" si="39"/>
        <v>1540</v>
      </c>
      <c r="I82" s="952">
        <f t="shared" si="39"/>
        <v>0</v>
      </c>
      <c r="J82" s="952">
        <f t="shared" si="39"/>
        <v>0</v>
      </c>
      <c r="K82" s="952">
        <f t="shared" si="39"/>
        <v>0</v>
      </c>
      <c r="L82" s="952">
        <f t="shared" si="39"/>
        <v>2904</v>
      </c>
      <c r="M82" s="953" t="str">
        <f>IF(C82='9_Inform_Gral_RRHH'!H10,"SI","NO")</f>
        <v>NO</v>
      </c>
      <c r="N82" s="954">
        <f t="shared" si="33"/>
        <v>0.13157894736842105</v>
      </c>
      <c r="O82" s="955">
        <f t="shared" si="34"/>
        <v>0.86842105263157898</v>
      </c>
    </row>
    <row r="83" spans="2:15" ht="16.5" thickTop="1" thickBot="1" x14ac:dyDescent="0.3">
      <c r="B83" s="956" t="s">
        <v>167</v>
      </c>
      <c r="C83" s="957">
        <f>SUM(C77:C82)</f>
        <v>478</v>
      </c>
      <c r="D83" s="958">
        <f t="shared" ref="D83:L83" si="40">SUM(D77:D82)</f>
        <v>10516</v>
      </c>
      <c r="E83" s="959">
        <f t="shared" si="40"/>
        <v>1298</v>
      </c>
      <c r="F83" s="960">
        <f t="shared" si="40"/>
        <v>2200</v>
      </c>
      <c r="G83" s="960">
        <f t="shared" si="40"/>
        <v>1936</v>
      </c>
      <c r="H83" s="960">
        <f t="shared" si="40"/>
        <v>4048</v>
      </c>
      <c r="I83" s="960">
        <f t="shared" si="40"/>
        <v>308</v>
      </c>
      <c r="J83" s="960">
        <f t="shared" si="40"/>
        <v>704</v>
      </c>
      <c r="K83" s="960">
        <f t="shared" si="40"/>
        <v>22</v>
      </c>
      <c r="L83" s="960">
        <f t="shared" si="40"/>
        <v>9218</v>
      </c>
      <c r="M83" s="961"/>
      <c r="N83" s="962">
        <f t="shared" si="33"/>
        <v>0.12343096234309624</v>
      </c>
      <c r="O83" s="963">
        <f t="shared" si="34"/>
        <v>0.87656903765690375</v>
      </c>
    </row>
  </sheetData>
  <sheetProtection password="EADF" sheet="1" objects="1" scenarios="1"/>
  <mergeCells count="6">
    <mergeCell ref="E3:L3"/>
    <mergeCell ref="N3:O3"/>
    <mergeCell ref="B4:B5"/>
    <mergeCell ref="C4:C5"/>
    <mergeCell ref="D4:D5"/>
    <mergeCell ref="F4:L4"/>
  </mergeCells>
  <phoneticPr fontId="60" type="noConversion"/>
  <pageMargins left="0.70866141732283472" right="0.70866141732283472" top="0.74803149606299213" bottom="0.74803149606299213" header="0.31496062992125984" footer="0.31496062992125984"/>
  <pageSetup scale="64" orientation="landscape"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J14"/>
  <sheetViews>
    <sheetView view="pageBreakPreview" zoomScale="73" zoomScaleNormal="100" zoomScaleSheetLayoutView="73" workbookViewId="0">
      <selection activeCell="U24" sqref="U24"/>
    </sheetView>
  </sheetViews>
  <sheetFormatPr baseColWidth="10" defaultColWidth="11.42578125" defaultRowHeight="15" x14ac:dyDescent="0.25"/>
  <cols>
    <col min="1" max="1" width="2.5703125" customWidth="1"/>
    <col min="2" max="2" width="31.42578125" customWidth="1"/>
    <col min="6" max="6" width="13.7109375" customWidth="1"/>
    <col min="17" max="17" width="19.7109375" customWidth="1"/>
  </cols>
  <sheetData>
    <row r="1" spans="2:36" ht="15.75" thickBot="1" x14ac:dyDescent="0.3">
      <c r="B1" s="5" t="s">
        <v>183</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3"/>
      <c r="AH1" s="3"/>
      <c r="AI1" s="3"/>
      <c r="AJ1" s="3"/>
    </row>
    <row r="2" spans="2:36" ht="42" customHeight="1" thickBot="1" x14ac:dyDescent="0.3">
      <c r="B2" s="225"/>
      <c r="C2" s="1195" t="s">
        <v>168</v>
      </c>
      <c r="D2" s="1196"/>
      <c r="E2" s="1196"/>
      <c r="F2" s="1197"/>
      <c r="G2" s="1189" t="s">
        <v>184</v>
      </c>
      <c r="H2" s="1190"/>
      <c r="I2" s="1190"/>
      <c r="J2" s="1190"/>
      <c r="K2" s="1191"/>
      <c r="L2" s="1192" t="s">
        <v>185</v>
      </c>
      <c r="M2" s="1193"/>
      <c r="N2" s="1193"/>
      <c r="O2" s="1193"/>
      <c r="P2" s="1194"/>
      <c r="Q2" s="1198" t="s">
        <v>188</v>
      </c>
      <c r="R2" s="1186" t="s">
        <v>186</v>
      </c>
      <c r="S2" s="1187"/>
      <c r="T2" s="1187"/>
      <c r="U2" s="1187"/>
      <c r="V2" s="1188"/>
      <c r="W2" s="1189" t="s">
        <v>660</v>
      </c>
      <c r="X2" s="1190"/>
      <c r="Y2" s="1190"/>
      <c r="Z2" s="1190"/>
      <c r="AA2" s="1191"/>
      <c r="AB2" s="1192" t="s">
        <v>661</v>
      </c>
      <c r="AC2" s="1193"/>
      <c r="AD2" s="1193"/>
      <c r="AE2" s="1193"/>
      <c r="AF2" s="1194"/>
      <c r="AG2" s="1186" t="s">
        <v>187</v>
      </c>
      <c r="AH2" s="1187"/>
      <c r="AI2" s="1187"/>
      <c r="AJ2" s="1188"/>
    </row>
    <row r="3" spans="2:36" ht="49.5" customHeight="1" thickBot="1" x14ac:dyDescent="0.3">
      <c r="B3" s="226" t="s">
        <v>169</v>
      </c>
      <c r="C3" s="227" t="s">
        <v>170</v>
      </c>
      <c r="D3" s="228" t="s">
        <v>171</v>
      </c>
      <c r="E3" s="229" t="s">
        <v>172</v>
      </c>
      <c r="F3" s="230" t="s">
        <v>173</v>
      </c>
      <c r="G3" s="227" t="s">
        <v>170</v>
      </c>
      <c r="H3" s="228" t="s">
        <v>174</v>
      </c>
      <c r="I3" s="228" t="s">
        <v>171</v>
      </c>
      <c r="J3" s="228" t="s">
        <v>172</v>
      </c>
      <c r="K3" s="230" t="s">
        <v>173</v>
      </c>
      <c r="L3" s="227" t="s">
        <v>170</v>
      </c>
      <c r="M3" s="231" t="s">
        <v>174</v>
      </c>
      <c r="N3" s="228" t="s">
        <v>171</v>
      </c>
      <c r="O3" s="229" t="s">
        <v>172</v>
      </c>
      <c r="P3" s="230" t="s">
        <v>173</v>
      </c>
      <c r="Q3" s="1199"/>
      <c r="R3" s="232" t="s">
        <v>170</v>
      </c>
      <c r="S3" s="233" t="s">
        <v>174</v>
      </c>
      <c r="T3" s="234" t="s">
        <v>171</v>
      </c>
      <c r="U3" s="235" t="s">
        <v>172</v>
      </c>
      <c r="V3" s="235" t="s">
        <v>175</v>
      </c>
      <c r="W3" s="227" t="s">
        <v>170</v>
      </c>
      <c r="X3" s="228" t="s">
        <v>174</v>
      </c>
      <c r="Y3" s="228" t="s">
        <v>171</v>
      </c>
      <c r="Z3" s="228" t="s">
        <v>172</v>
      </c>
      <c r="AA3" s="230" t="s">
        <v>173</v>
      </c>
      <c r="AB3" s="227" t="s">
        <v>170</v>
      </c>
      <c r="AC3" s="231" t="s">
        <v>174</v>
      </c>
      <c r="AD3" s="228" t="s">
        <v>171</v>
      </c>
      <c r="AE3" s="229" t="s">
        <v>172</v>
      </c>
      <c r="AF3" s="230" t="s">
        <v>173</v>
      </c>
      <c r="AG3" s="232" t="s">
        <v>170</v>
      </c>
      <c r="AH3" s="234" t="s">
        <v>174</v>
      </c>
      <c r="AI3" s="234" t="s">
        <v>171</v>
      </c>
      <c r="AJ3" s="236" t="s">
        <v>172</v>
      </c>
    </row>
    <row r="4" spans="2:36" ht="27" customHeight="1" thickTop="1" x14ac:dyDescent="0.25">
      <c r="B4" s="224" t="s">
        <v>176</v>
      </c>
      <c r="C4" s="270">
        <v>1465235</v>
      </c>
      <c r="D4" s="240">
        <v>0</v>
      </c>
      <c r="E4" s="271">
        <f>SUM(C4:D4)</f>
        <v>1465235</v>
      </c>
      <c r="F4" s="272">
        <f>IF(ISERROR(E4/$E$14),"",E4/$E$14)</f>
        <v>0.68655321222571564</v>
      </c>
      <c r="G4" s="270">
        <v>1464366</v>
      </c>
      <c r="H4" s="240">
        <v>0</v>
      </c>
      <c r="I4" s="240">
        <v>0</v>
      </c>
      <c r="J4" s="271">
        <f>SUM(G4:I4)</f>
        <v>1464366</v>
      </c>
      <c r="K4" s="272">
        <f>IF(ISERROR(J4/$J$14),"",J4/$J$14)</f>
        <v>0.63481341685638437</v>
      </c>
      <c r="L4" s="270">
        <v>1454987.82</v>
      </c>
      <c r="M4" s="240">
        <v>0</v>
      </c>
      <c r="N4" s="240"/>
      <c r="O4" s="271">
        <f>SUM(L4:N4)</f>
        <v>1454987.82</v>
      </c>
      <c r="P4" s="272">
        <f>IF(ISERROR(O4/$O$14),"",O4/$O$14)</f>
        <v>0.64604630052342493</v>
      </c>
      <c r="Q4" s="273">
        <f>IF(ISERROR(O4/J4),"",O4/J4)</f>
        <v>0.9935957404091601</v>
      </c>
      <c r="R4" s="270">
        <v>1594070</v>
      </c>
      <c r="S4" s="240">
        <v>0</v>
      </c>
      <c r="T4" s="240">
        <v>0</v>
      </c>
      <c r="U4" s="271">
        <f>SUM(R4:T4)</f>
        <v>1594070</v>
      </c>
      <c r="V4" s="274">
        <f>IF(ISERROR(U4/$U$14),"",U4/$U$14)</f>
        <v>0.70481677337200666</v>
      </c>
      <c r="W4" s="270">
        <v>1594070</v>
      </c>
      <c r="X4" s="240">
        <v>0</v>
      </c>
      <c r="Y4" s="240">
        <v>0</v>
      </c>
      <c r="Z4" s="271">
        <f>SUM(W4:Y4)</f>
        <v>1594070</v>
      </c>
      <c r="AA4" s="272">
        <f>IF(ISERROR(Z4/$J$14),"",Z4/$J$14)</f>
        <v>0.69104105354006895</v>
      </c>
      <c r="AB4" s="270">
        <v>380868.48</v>
      </c>
      <c r="AC4" s="240">
        <v>0</v>
      </c>
      <c r="AD4" s="240">
        <v>0</v>
      </c>
      <c r="AE4" s="271">
        <f>SUM(AB4:AD4)</f>
        <v>380868.48</v>
      </c>
      <c r="AF4" s="272">
        <f>IF(ISERROR(AE4/$O$14),"",AE4/$O$14)</f>
        <v>0.16911390535900159</v>
      </c>
      <c r="AG4" s="275">
        <f>IF(ISERROR(R4/G4-1),"",R4/G4-1)</f>
        <v>8.8573485044039613E-2</v>
      </c>
      <c r="AH4" s="276" t="str">
        <f>IF(ISERROR(S4/H4-1),"",S4/H4-1)</f>
        <v/>
      </c>
      <c r="AI4" s="276" t="str">
        <f>IF(ISERROR(T4/I4-1),"",T4/I4-1)</f>
        <v/>
      </c>
      <c r="AJ4" s="272">
        <f>IF(ISERROR(U4/J4-1),"",U4/J4-1)</f>
        <v>8.8573485044039613E-2</v>
      </c>
    </row>
    <row r="5" spans="2:36" ht="27" customHeight="1" x14ac:dyDescent="0.25">
      <c r="B5" s="223" t="s">
        <v>177</v>
      </c>
      <c r="C5" s="270">
        <v>221890</v>
      </c>
      <c r="D5" s="240">
        <v>0</v>
      </c>
      <c r="E5" s="238">
        <f t="shared" ref="E5:E12" si="0">SUM(C5:D5)</f>
        <v>221890</v>
      </c>
      <c r="F5" s="277">
        <f t="shared" ref="F5:F13" si="1">IF(ISERROR(E5/$E$14),"",E5/$E$14)</f>
        <v>0.10396918737319545</v>
      </c>
      <c r="G5" s="270">
        <v>174.25</v>
      </c>
      <c r="H5" s="240">
        <v>0</v>
      </c>
      <c r="I5" s="240">
        <v>343.5</v>
      </c>
      <c r="J5" s="238">
        <f t="shared" ref="J5:J13" si="2">SUM(G5:I5)</f>
        <v>517.75</v>
      </c>
      <c r="K5" s="277">
        <f t="shared" ref="K5:K13" si="3">IF(ISERROR(J5/$J$14),"",J5/$J$14)</f>
        <v>2.2444842790490425E-4</v>
      </c>
      <c r="L5" s="270">
        <v>174.25</v>
      </c>
      <c r="M5" s="240">
        <v>0</v>
      </c>
      <c r="N5" s="240">
        <v>342.5</v>
      </c>
      <c r="O5" s="238">
        <f t="shared" ref="O5:O13" si="4">SUM(L5:N5)</f>
        <v>516.75</v>
      </c>
      <c r="P5" s="277">
        <f t="shared" ref="P5:P13" si="5">IF(ISERROR(O5/$O$14),"",O5/$O$14)</f>
        <v>2.2944826149505485E-4</v>
      </c>
      <c r="Q5" s="278">
        <f t="shared" ref="Q5:Q13" si="6">IF(ISERROR(O5/J5),"",O5/J5)</f>
        <v>0.99806856591018833</v>
      </c>
      <c r="R5" s="270">
        <v>221890</v>
      </c>
      <c r="S5" s="240">
        <v>0</v>
      </c>
      <c r="T5" s="240">
        <v>0</v>
      </c>
      <c r="U5" s="238">
        <f t="shared" ref="U5:U13" si="7">SUM(R5:T5)</f>
        <v>221890</v>
      </c>
      <c r="V5" s="279">
        <f t="shared" ref="V5:V13" si="8">IF(ISERROR(U5/$U$14),"",U5/$U$14)</f>
        <v>9.8108485727423866E-2</v>
      </c>
      <c r="W5" s="270">
        <v>0</v>
      </c>
      <c r="X5" s="240">
        <v>0</v>
      </c>
      <c r="Y5" s="240">
        <v>0</v>
      </c>
      <c r="Z5" s="238">
        <f t="shared" ref="Z5:Z13" si="9">SUM(W5:Y5)</f>
        <v>0</v>
      </c>
      <c r="AA5" s="277">
        <f t="shared" ref="AA5:AA13" si="10">IF(ISERROR(Z5/$J$14),"",Z5/$J$14)</f>
        <v>0</v>
      </c>
      <c r="AB5" s="270">
        <v>0</v>
      </c>
      <c r="AC5" s="240">
        <v>0</v>
      </c>
      <c r="AD5" s="240">
        <v>0</v>
      </c>
      <c r="AE5" s="238">
        <f t="shared" ref="AE5:AE13" si="11">SUM(AB5:AD5)</f>
        <v>0</v>
      </c>
      <c r="AF5" s="277">
        <f t="shared" ref="AF5:AF13" si="12">IF(ISERROR(AE5/$O$14),"",AE5/$O$14)</f>
        <v>0</v>
      </c>
      <c r="AG5" s="280">
        <f t="shared" ref="AG5:AG13" si="13">IF(ISERROR(R5/G5-1),"",R5/G5-1)</f>
        <v>1272.400286944046</v>
      </c>
      <c r="AH5" s="281" t="str">
        <f t="shared" ref="AH5:AJ9" si="14">IF(ISERROR(S5/H5-1),"",S5/H5-1)</f>
        <v/>
      </c>
      <c r="AI5" s="281">
        <f t="shared" si="14"/>
        <v>-1</v>
      </c>
      <c r="AJ5" s="277">
        <f t="shared" si="14"/>
        <v>427.56591018831483</v>
      </c>
    </row>
    <row r="6" spans="2:36" ht="27" customHeight="1" x14ac:dyDescent="0.25">
      <c r="B6" s="223" t="s">
        <v>602</v>
      </c>
      <c r="C6" s="270">
        <v>89165</v>
      </c>
      <c r="D6" s="240">
        <v>0</v>
      </c>
      <c r="E6" s="238">
        <f t="shared" si="0"/>
        <v>89165</v>
      </c>
      <c r="F6" s="277">
        <f t="shared" si="1"/>
        <v>4.177931674312034E-2</v>
      </c>
      <c r="G6" s="270">
        <v>73266.720000000001</v>
      </c>
      <c r="H6" s="240">
        <v>15045.42</v>
      </c>
      <c r="I6" s="240">
        <v>1704.33</v>
      </c>
      <c r="J6" s="238">
        <f t="shared" si="2"/>
        <v>90016.47</v>
      </c>
      <c r="K6" s="277">
        <f t="shared" si="3"/>
        <v>3.9022800921388656E-2</v>
      </c>
      <c r="L6" s="270">
        <v>73266.720000000001</v>
      </c>
      <c r="M6" s="240">
        <v>15044.45</v>
      </c>
      <c r="N6" s="240">
        <v>1704.33</v>
      </c>
      <c r="O6" s="238">
        <f t="shared" si="4"/>
        <v>90015.5</v>
      </c>
      <c r="P6" s="277">
        <f t="shared" si="5"/>
        <v>3.9968843701225179E-2</v>
      </c>
      <c r="Q6" s="278">
        <f t="shared" si="6"/>
        <v>0.99998922419419467</v>
      </c>
      <c r="R6" s="270">
        <v>89165</v>
      </c>
      <c r="S6" s="240">
        <v>0</v>
      </c>
      <c r="T6" s="240">
        <v>0</v>
      </c>
      <c r="U6" s="238">
        <f t="shared" si="7"/>
        <v>89165</v>
      </c>
      <c r="V6" s="279">
        <f t="shared" si="8"/>
        <v>3.9424233313289238E-2</v>
      </c>
      <c r="W6" s="270">
        <v>82062.179999999993</v>
      </c>
      <c r="X6" s="240">
        <v>0</v>
      </c>
      <c r="Y6" s="240">
        <v>0</v>
      </c>
      <c r="Z6" s="238">
        <f t="shared" si="9"/>
        <v>82062.179999999993</v>
      </c>
      <c r="AA6" s="277">
        <f t="shared" si="10"/>
        <v>3.5574557781649974E-2</v>
      </c>
      <c r="AB6" s="270">
        <v>42897.18</v>
      </c>
      <c r="AC6" s="240">
        <v>0</v>
      </c>
      <c r="AD6" s="240">
        <v>150</v>
      </c>
      <c r="AE6" s="238">
        <f t="shared" si="11"/>
        <v>43047.18</v>
      </c>
      <c r="AF6" s="277">
        <f t="shared" si="12"/>
        <v>1.9113886044053598E-2</v>
      </c>
      <c r="AG6" s="280">
        <f t="shared" si="13"/>
        <v>0.21699183476481543</v>
      </c>
      <c r="AH6" s="281">
        <f t="shared" si="14"/>
        <v>-1</v>
      </c>
      <c r="AI6" s="281">
        <f t="shared" si="14"/>
        <v>-1</v>
      </c>
      <c r="AJ6" s="277">
        <f t="shared" si="14"/>
        <v>-9.4590467722184268E-3</v>
      </c>
    </row>
    <row r="7" spans="2:36" ht="27" customHeight="1" x14ac:dyDescent="0.25">
      <c r="B7" s="223" t="s">
        <v>603</v>
      </c>
      <c r="C7" s="270">
        <v>38000</v>
      </c>
      <c r="D7" s="240">
        <v>0</v>
      </c>
      <c r="E7" s="238">
        <f t="shared" si="0"/>
        <v>38000</v>
      </c>
      <c r="F7" s="277">
        <f t="shared" si="1"/>
        <v>1.7805350039124913E-2</v>
      </c>
      <c r="G7" s="270">
        <v>30189.06</v>
      </c>
      <c r="H7" s="240">
        <v>5174.25</v>
      </c>
      <c r="I7" s="240">
        <v>205.74</v>
      </c>
      <c r="J7" s="238">
        <f t="shared" si="2"/>
        <v>35569.049999999996</v>
      </c>
      <c r="K7" s="277">
        <f t="shared" si="3"/>
        <v>1.5419444431812522E-2</v>
      </c>
      <c r="L7" s="270">
        <v>30189.06</v>
      </c>
      <c r="M7" s="240">
        <v>5174.25</v>
      </c>
      <c r="N7" s="240">
        <v>205.74</v>
      </c>
      <c r="O7" s="238">
        <f t="shared" si="4"/>
        <v>35569.049999999996</v>
      </c>
      <c r="P7" s="277">
        <f t="shared" si="5"/>
        <v>1.5793433353712007E-2</v>
      </c>
      <c r="Q7" s="278">
        <f t="shared" si="6"/>
        <v>1</v>
      </c>
      <c r="R7" s="270">
        <v>26940</v>
      </c>
      <c r="S7" s="240">
        <v>0</v>
      </c>
      <c r="T7" s="240">
        <v>0</v>
      </c>
      <c r="U7" s="238">
        <f t="shared" si="7"/>
        <v>26940</v>
      </c>
      <c r="V7" s="279">
        <f t="shared" si="8"/>
        <v>1.1911499416363058E-2</v>
      </c>
      <c r="W7" s="270">
        <v>29485.75</v>
      </c>
      <c r="X7" s="240">
        <v>0</v>
      </c>
      <c r="Y7" s="240">
        <v>0</v>
      </c>
      <c r="Z7" s="238">
        <f t="shared" si="9"/>
        <v>29485.75</v>
      </c>
      <c r="AA7" s="277">
        <f t="shared" si="10"/>
        <v>1.2782289199607976E-2</v>
      </c>
      <c r="AB7" s="270">
        <v>11247.6</v>
      </c>
      <c r="AC7" s="240">
        <v>0</v>
      </c>
      <c r="AD7" s="240">
        <v>0</v>
      </c>
      <c r="AE7" s="238">
        <f t="shared" si="11"/>
        <v>11247.6</v>
      </c>
      <c r="AF7" s="277">
        <f t="shared" si="12"/>
        <v>4.9941795181263262E-3</v>
      </c>
      <c r="AG7" s="280">
        <f t="shared" si="13"/>
        <v>-0.10762375509538891</v>
      </c>
      <c r="AH7" s="281">
        <f t="shared" si="14"/>
        <v>-1</v>
      </c>
      <c r="AI7" s="281">
        <f t="shared" si="14"/>
        <v>-1</v>
      </c>
      <c r="AJ7" s="277">
        <f t="shared" si="14"/>
        <v>-0.24259995698507542</v>
      </c>
    </row>
    <row r="8" spans="2:36" ht="27" customHeight="1" x14ac:dyDescent="0.25">
      <c r="B8" s="224" t="s">
        <v>180</v>
      </c>
      <c r="C8" s="270">
        <v>78490</v>
      </c>
      <c r="D8" s="240">
        <v>0</v>
      </c>
      <c r="E8" s="238">
        <f t="shared" si="0"/>
        <v>78490</v>
      </c>
      <c r="F8" s="277">
        <f t="shared" si="1"/>
        <v>3.6777419067655644E-2</v>
      </c>
      <c r="G8" s="270">
        <v>161869.79</v>
      </c>
      <c r="H8" s="240">
        <v>20613.37</v>
      </c>
      <c r="I8" s="240">
        <v>0</v>
      </c>
      <c r="J8" s="238">
        <f t="shared" si="2"/>
        <v>182483.16</v>
      </c>
      <c r="K8" s="277">
        <f t="shared" si="3"/>
        <v>7.910779020979064E-2</v>
      </c>
      <c r="L8" s="270">
        <v>101869.79</v>
      </c>
      <c r="M8" s="240">
        <v>20613.37</v>
      </c>
      <c r="N8" s="240">
        <v>0</v>
      </c>
      <c r="O8" s="238">
        <f t="shared" si="4"/>
        <v>122483.15999999999</v>
      </c>
      <c r="P8" s="277">
        <f t="shared" si="5"/>
        <v>5.4385192306571149E-2</v>
      </c>
      <c r="Q8" s="278">
        <f t="shared" si="6"/>
        <v>0.67120253726426038</v>
      </c>
      <c r="R8" s="270">
        <v>100980</v>
      </c>
      <c r="S8" s="240">
        <v>0</v>
      </c>
      <c r="T8" s="240">
        <v>0</v>
      </c>
      <c r="U8" s="238">
        <f t="shared" si="7"/>
        <v>100980</v>
      </c>
      <c r="V8" s="279">
        <f t="shared" si="8"/>
        <v>4.4648226097414312E-2</v>
      </c>
      <c r="W8" s="270">
        <v>99322.31</v>
      </c>
      <c r="X8" s="240">
        <v>0</v>
      </c>
      <c r="Y8" s="240">
        <v>0</v>
      </c>
      <c r="Z8" s="238">
        <f t="shared" si="9"/>
        <v>99322.31</v>
      </c>
      <c r="AA8" s="277">
        <f t="shared" si="10"/>
        <v>4.3056950913343404E-2</v>
      </c>
      <c r="AB8" s="270">
        <v>25122.06</v>
      </c>
      <c r="AC8" s="240">
        <v>0</v>
      </c>
      <c r="AD8" s="240">
        <v>0</v>
      </c>
      <c r="AE8" s="238">
        <f t="shared" si="11"/>
        <v>25122.06</v>
      </c>
      <c r="AF8" s="277">
        <f t="shared" si="12"/>
        <v>1.1154742123221012E-2</v>
      </c>
      <c r="AG8" s="280">
        <f t="shared" si="13"/>
        <v>-0.37616524985916155</v>
      </c>
      <c r="AH8" s="281">
        <f t="shared" si="14"/>
        <v>-1</v>
      </c>
      <c r="AI8" s="281" t="str">
        <f t="shared" si="14"/>
        <v/>
      </c>
      <c r="AJ8" s="277">
        <f t="shared" si="14"/>
        <v>-0.44663387021575029</v>
      </c>
    </row>
    <row r="9" spans="2:36" ht="27" customHeight="1" x14ac:dyDescent="0.25">
      <c r="B9" s="223" t="s">
        <v>181</v>
      </c>
      <c r="C9" s="270">
        <v>97915</v>
      </c>
      <c r="D9" s="240">
        <v>0</v>
      </c>
      <c r="E9" s="238">
        <f t="shared" si="0"/>
        <v>97915</v>
      </c>
      <c r="F9" s="277">
        <f t="shared" si="1"/>
        <v>4.5879232870550422E-2</v>
      </c>
      <c r="G9" s="270">
        <v>74300.740000000005</v>
      </c>
      <c r="H9" s="240">
        <v>23481.14</v>
      </c>
      <c r="I9" s="240">
        <v>154.78</v>
      </c>
      <c r="J9" s="238">
        <f t="shared" si="2"/>
        <v>97936.66</v>
      </c>
      <c r="K9" s="277">
        <f t="shared" si="3"/>
        <v>4.2456261460660782E-2</v>
      </c>
      <c r="L9" s="270">
        <v>74299.64</v>
      </c>
      <c r="M9" s="240">
        <v>23481.14</v>
      </c>
      <c r="N9" s="240">
        <v>154.78</v>
      </c>
      <c r="O9" s="238">
        <f t="shared" si="4"/>
        <v>97935.56</v>
      </c>
      <c r="P9" s="277">
        <f t="shared" si="5"/>
        <v>4.3485522942515016E-2</v>
      </c>
      <c r="Q9" s="278">
        <f t="shared" si="6"/>
        <v>0.9999887682508265</v>
      </c>
      <c r="R9" s="270">
        <v>78260</v>
      </c>
      <c r="S9" s="240">
        <v>0</v>
      </c>
      <c r="T9" s="240">
        <v>0</v>
      </c>
      <c r="U9" s="238">
        <f t="shared" si="7"/>
        <v>78260</v>
      </c>
      <c r="V9" s="279">
        <f t="shared" si="8"/>
        <v>3.4602596300095503E-2</v>
      </c>
      <c r="W9" s="270">
        <v>77347.8</v>
      </c>
      <c r="X9" s="240">
        <v>0</v>
      </c>
      <c r="Y9" s="240">
        <v>0</v>
      </c>
      <c r="Z9" s="238">
        <f t="shared" si="9"/>
        <v>77347.8</v>
      </c>
      <c r="AA9" s="277">
        <f t="shared" si="10"/>
        <v>3.3530839424245201E-2</v>
      </c>
      <c r="AB9" s="270">
        <v>21738.12</v>
      </c>
      <c r="AC9" s="240">
        <v>0</v>
      </c>
      <c r="AD9" s="240">
        <v>0</v>
      </c>
      <c r="AE9" s="238">
        <f t="shared" si="11"/>
        <v>21738.12</v>
      </c>
      <c r="AF9" s="277">
        <f t="shared" si="12"/>
        <v>9.6521990172634374E-3</v>
      </c>
      <c r="AG9" s="280">
        <f t="shared" si="13"/>
        <v>5.3286952458346803E-2</v>
      </c>
      <c r="AH9" s="281">
        <f t="shared" si="14"/>
        <v>-1</v>
      </c>
      <c r="AI9" s="281">
        <f t="shared" si="14"/>
        <v>-1</v>
      </c>
      <c r="AJ9" s="277">
        <f t="shared" si="14"/>
        <v>-0.20091209971832813</v>
      </c>
    </row>
    <row r="10" spans="2:36" ht="27" customHeight="1" x14ac:dyDescent="0.25">
      <c r="B10" s="223" t="s">
        <v>662</v>
      </c>
      <c r="C10" s="270">
        <v>0</v>
      </c>
      <c r="D10" s="240">
        <v>0</v>
      </c>
      <c r="E10" s="238">
        <f t="shared" si="0"/>
        <v>0</v>
      </c>
      <c r="F10" s="277">
        <f t="shared" si="1"/>
        <v>0</v>
      </c>
      <c r="G10" s="270">
        <v>17655</v>
      </c>
      <c r="H10" s="240">
        <v>14631.99</v>
      </c>
      <c r="I10" s="240">
        <v>0</v>
      </c>
      <c r="J10" s="238">
        <f>SUM(G10:I10)</f>
        <v>32286.989999999998</v>
      </c>
      <c r="K10" s="277">
        <f>IF(ISERROR(J10/$J$14),"",J10/$J$14)</f>
        <v>1.3996647314884333E-2</v>
      </c>
      <c r="L10" s="270">
        <v>17655</v>
      </c>
      <c r="M10" s="240">
        <v>14631.99</v>
      </c>
      <c r="N10" s="240">
        <v>0</v>
      </c>
      <c r="O10" s="238">
        <f>SUM(L10:N10)</f>
        <v>32286.989999999998</v>
      </c>
      <c r="P10" s="277">
        <f>IF(ISERROR(O10/$O$14),"",O10/$O$14)</f>
        <v>1.4336127188017843E-2</v>
      </c>
      <c r="Q10" s="278">
        <f t="shared" si="6"/>
        <v>1</v>
      </c>
      <c r="R10" s="270">
        <v>0</v>
      </c>
      <c r="S10" s="240">
        <v>0</v>
      </c>
      <c r="T10" s="240">
        <v>0</v>
      </c>
      <c r="U10" s="238">
        <f>SUM(R10:T10)</f>
        <v>0</v>
      </c>
      <c r="V10" s="279">
        <f>IF(ISERROR(U10/$U$14),"",U10/$U$14)</f>
        <v>0</v>
      </c>
      <c r="W10" s="282">
        <v>0</v>
      </c>
      <c r="X10" s="283">
        <v>0</v>
      </c>
      <c r="Y10" s="283">
        <v>0</v>
      </c>
      <c r="Z10" s="284">
        <f t="shared" si="9"/>
        <v>0</v>
      </c>
      <c r="AA10" s="285">
        <f t="shared" si="10"/>
        <v>0</v>
      </c>
      <c r="AB10" s="270">
        <v>0</v>
      </c>
      <c r="AC10" s="240">
        <v>0</v>
      </c>
      <c r="AD10" s="240">
        <v>0</v>
      </c>
      <c r="AE10" s="238">
        <f>SUM(AB10:AD10)</f>
        <v>0</v>
      </c>
      <c r="AF10" s="277">
        <f>IF(ISERROR(AE10/$O$14),"",AE10/$O$14)</f>
        <v>0</v>
      </c>
      <c r="AG10" s="280">
        <f t="shared" ref="AG10:AJ12" si="15">IF(ISERROR(R10/G10-1),"",R10/G10-1)</f>
        <v>-1</v>
      </c>
      <c r="AH10" s="281">
        <f t="shared" si="15"/>
        <v>-1</v>
      </c>
      <c r="AI10" s="281" t="str">
        <f t="shared" si="15"/>
        <v/>
      </c>
      <c r="AJ10" s="277">
        <f t="shared" si="15"/>
        <v>-1</v>
      </c>
    </row>
    <row r="11" spans="2:36" ht="27" customHeight="1" x14ac:dyDescent="0.25">
      <c r="B11" s="223" t="s">
        <v>663</v>
      </c>
      <c r="C11" s="282">
        <v>0</v>
      </c>
      <c r="D11" s="283">
        <v>0</v>
      </c>
      <c r="E11" s="238">
        <f t="shared" si="0"/>
        <v>0</v>
      </c>
      <c r="F11" s="277">
        <f t="shared" si="1"/>
        <v>0</v>
      </c>
      <c r="G11" s="270">
        <v>0</v>
      </c>
      <c r="H11" s="240">
        <v>0</v>
      </c>
      <c r="I11" s="240">
        <v>0</v>
      </c>
      <c r="J11" s="238">
        <f>SUM(G11:I11)</f>
        <v>0</v>
      </c>
      <c r="K11" s="277">
        <f>IF(ISERROR(J11/$J$14),"",J11/$J$14)</f>
        <v>0</v>
      </c>
      <c r="L11" s="282">
        <v>0</v>
      </c>
      <c r="M11" s="283">
        <v>15368.01</v>
      </c>
      <c r="N11" s="240">
        <v>0</v>
      </c>
      <c r="O11" s="238">
        <f>SUM(L11:N11)</f>
        <v>15368.01</v>
      </c>
      <c r="P11" s="277">
        <f>IF(ISERROR(O11/$O$14),"",O11/$O$14)</f>
        <v>6.8237313539208861E-3</v>
      </c>
      <c r="Q11" s="278" t="str">
        <f t="shared" si="6"/>
        <v/>
      </c>
      <c r="R11" s="282">
        <v>0</v>
      </c>
      <c r="S11" s="283">
        <v>0</v>
      </c>
      <c r="T11" s="240">
        <v>0</v>
      </c>
      <c r="U11" s="238">
        <f>SUM(R11:T11)</f>
        <v>0</v>
      </c>
      <c r="V11" s="279">
        <f>IF(ISERROR(U11/$U$14),"",U11/$U$14)</f>
        <v>0</v>
      </c>
      <c r="W11" s="282">
        <v>0</v>
      </c>
      <c r="X11" s="283">
        <v>0</v>
      </c>
      <c r="Y11" s="283">
        <v>0</v>
      </c>
      <c r="Z11" s="284">
        <f t="shared" si="9"/>
        <v>0</v>
      </c>
      <c r="AA11" s="285">
        <f t="shared" si="10"/>
        <v>0</v>
      </c>
      <c r="AB11" s="270">
        <v>0</v>
      </c>
      <c r="AC11" s="240">
        <v>0</v>
      </c>
      <c r="AD11" s="240">
        <v>0</v>
      </c>
      <c r="AE11" s="238">
        <f>SUM(AB11:AD11)</f>
        <v>0</v>
      </c>
      <c r="AF11" s="277">
        <f>IF(ISERROR(AE11/$O$14),"",AE11/$O$14)</f>
        <v>0</v>
      </c>
      <c r="AG11" s="280" t="str">
        <f t="shared" si="15"/>
        <v/>
      </c>
      <c r="AH11" s="281" t="str">
        <f t="shared" si="15"/>
        <v/>
      </c>
      <c r="AI11" s="281" t="str">
        <f t="shared" si="15"/>
        <v/>
      </c>
      <c r="AJ11" s="277" t="str">
        <f t="shared" si="15"/>
        <v/>
      </c>
    </row>
    <row r="12" spans="2:36" ht="27" customHeight="1" x14ac:dyDescent="0.25">
      <c r="B12" s="223" t="s">
        <v>664</v>
      </c>
      <c r="C12" s="282">
        <v>3000</v>
      </c>
      <c r="D12" s="283">
        <v>5000</v>
      </c>
      <c r="E12" s="238">
        <f t="shared" si="0"/>
        <v>8000</v>
      </c>
      <c r="F12" s="277">
        <f t="shared" si="1"/>
        <v>3.7484947450789293E-3</v>
      </c>
      <c r="G12" s="270">
        <v>1859</v>
      </c>
      <c r="H12" s="240">
        <v>2045.06</v>
      </c>
      <c r="I12" s="240">
        <v>1241.46</v>
      </c>
      <c r="J12" s="238">
        <f>SUM(G12:I12)</f>
        <v>5145.5200000000004</v>
      </c>
      <c r="K12" s="277">
        <f>IF(ISERROR(J12/$J$14),"",J12/$J$14)</f>
        <v>2.2306207141540185E-3</v>
      </c>
      <c r="L12" s="282">
        <v>1859</v>
      </c>
      <c r="M12" s="283">
        <v>2045.06</v>
      </c>
      <c r="N12" s="240">
        <v>1241.46</v>
      </c>
      <c r="O12" s="238">
        <f>SUM(L12:N12)</f>
        <v>5145.5200000000004</v>
      </c>
      <c r="P12" s="277">
        <f>IF(ISERROR(O12/$O$14),"",O12/$O$14)</f>
        <v>2.2847230159420123E-3</v>
      </c>
      <c r="Q12" s="278">
        <f t="shared" si="6"/>
        <v>1</v>
      </c>
      <c r="R12" s="282">
        <v>0</v>
      </c>
      <c r="S12" s="283">
        <v>0</v>
      </c>
      <c r="T12" s="240">
        <v>8000</v>
      </c>
      <c r="U12" s="238">
        <f>SUM(R12:T12)</f>
        <v>8000</v>
      </c>
      <c r="V12" s="279">
        <f>IF(ISERROR(U12/$U$14),"",U12/$U$14)</f>
        <v>3.5371935906052137E-3</v>
      </c>
      <c r="W12" s="282">
        <v>0</v>
      </c>
      <c r="X12" s="283">
        <v>0</v>
      </c>
      <c r="Y12" s="283">
        <v>5381.02</v>
      </c>
      <c r="Z12" s="284">
        <f t="shared" si="9"/>
        <v>5381.02</v>
      </c>
      <c r="AA12" s="285">
        <f t="shared" si="10"/>
        <v>2.3327116939156887E-3</v>
      </c>
      <c r="AB12" s="270">
        <v>3115.28</v>
      </c>
      <c r="AC12" s="240">
        <v>0</v>
      </c>
      <c r="AD12" s="240">
        <v>81.02</v>
      </c>
      <c r="AE12" s="238">
        <f>SUM(AB12:AD12)</f>
        <v>3196.3</v>
      </c>
      <c r="AF12" s="277">
        <f>IF(ISERROR(AE12/$O$14),"",AE12/$O$14)</f>
        <v>1.419226856732741E-3</v>
      </c>
      <c r="AG12" s="280">
        <f t="shared" si="15"/>
        <v>-1</v>
      </c>
      <c r="AH12" s="281">
        <f t="shared" si="15"/>
        <v>-1</v>
      </c>
      <c r="AI12" s="281">
        <f t="shared" si="15"/>
        <v>5.4440255827815633</v>
      </c>
      <c r="AJ12" s="277">
        <f t="shared" si="15"/>
        <v>0.55475054027581261</v>
      </c>
    </row>
    <row r="13" spans="2:36" ht="27" customHeight="1" thickBot="1" x14ac:dyDescent="0.3">
      <c r="B13" s="302" t="s">
        <v>59</v>
      </c>
      <c r="C13" s="286">
        <v>112115</v>
      </c>
      <c r="D13" s="287">
        <v>23380</v>
      </c>
      <c r="E13" s="288">
        <f>SUM(C13:D13)</f>
        <v>135495</v>
      </c>
      <c r="F13" s="289">
        <f t="shared" si="1"/>
        <v>6.348778693555869E-2</v>
      </c>
      <c r="G13" s="286">
        <v>129163.31</v>
      </c>
      <c r="H13" s="287">
        <v>235818.76</v>
      </c>
      <c r="I13" s="287">
        <v>33462.32</v>
      </c>
      <c r="J13" s="288">
        <f t="shared" si="2"/>
        <v>398444.39</v>
      </c>
      <c r="K13" s="289">
        <f t="shared" si="3"/>
        <v>0.17272856966301989</v>
      </c>
      <c r="L13" s="286">
        <v>129149.57</v>
      </c>
      <c r="M13" s="287">
        <v>235795.85</v>
      </c>
      <c r="N13" s="287">
        <v>32887.93</v>
      </c>
      <c r="O13" s="288">
        <f t="shared" si="4"/>
        <v>397833.35000000003</v>
      </c>
      <c r="P13" s="289">
        <f t="shared" si="5"/>
        <v>0.17664667735317599</v>
      </c>
      <c r="Q13" s="290">
        <f t="shared" si="6"/>
        <v>0.9984664359309966</v>
      </c>
      <c r="R13" s="286">
        <v>113835</v>
      </c>
      <c r="S13" s="287">
        <v>0</v>
      </c>
      <c r="T13" s="287">
        <v>28540</v>
      </c>
      <c r="U13" s="288">
        <f t="shared" si="7"/>
        <v>142375</v>
      </c>
      <c r="V13" s="291">
        <f t="shared" si="8"/>
        <v>6.295099218280216E-2</v>
      </c>
      <c r="W13" s="286">
        <v>286027.96000000002</v>
      </c>
      <c r="X13" s="287">
        <v>0</v>
      </c>
      <c r="Y13" s="287">
        <v>31158.98</v>
      </c>
      <c r="Z13" s="288">
        <f t="shared" si="9"/>
        <v>317186.94</v>
      </c>
      <c r="AA13" s="289">
        <f t="shared" si="10"/>
        <v>0.13750286824716018</v>
      </c>
      <c r="AB13" s="286">
        <v>69172.639999999999</v>
      </c>
      <c r="AC13" s="287">
        <v>0</v>
      </c>
      <c r="AD13" s="287">
        <v>7794.4</v>
      </c>
      <c r="AE13" s="288">
        <f t="shared" si="11"/>
        <v>76967.039999999994</v>
      </c>
      <c r="AF13" s="289">
        <f t="shared" si="12"/>
        <v>3.4175043097088235E-2</v>
      </c>
      <c r="AG13" s="292">
        <f t="shared" si="13"/>
        <v>-0.11867387108614669</v>
      </c>
      <c r="AH13" s="293">
        <f t="shared" ref="AH13:AJ14" si="16">IF(ISERROR(S13/H13-1),"",S13/H13-1)</f>
        <v>-1</v>
      </c>
      <c r="AI13" s="293">
        <f t="shared" si="16"/>
        <v>-0.14710038036812745</v>
      </c>
      <c r="AJ13" s="289">
        <f t="shared" si="16"/>
        <v>-0.64267284576399741</v>
      </c>
    </row>
    <row r="14" spans="2:36" ht="27" customHeight="1" thickTop="1" thickBot="1" x14ac:dyDescent="0.3">
      <c r="B14" s="564" t="s">
        <v>182</v>
      </c>
      <c r="C14" s="565">
        <f>SUM(C4:C13)</f>
        <v>2105810</v>
      </c>
      <c r="D14" s="566">
        <f t="shared" ref="D14:P14" si="17">SUM(D4:D13)</f>
        <v>28380</v>
      </c>
      <c r="E14" s="566">
        <f t="shared" si="17"/>
        <v>2134190</v>
      </c>
      <c r="F14" s="567">
        <f t="shared" si="17"/>
        <v>0.99999999999999989</v>
      </c>
      <c r="G14" s="565">
        <f t="shared" si="17"/>
        <v>1952843.87</v>
      </c>
      <c r="H14" s="566">
        <f t="shared" si="17"/>
        <v>316809.99</v>
      </c>
      <c r="I14" s="566">
        <f t="shared" si="17"/>
        <v>37112.129999999997</v>
      </c>
      <c r="J14" s="566">
        <f t="shared" si="17"/>
        <v>2306765.9899999998</v>
      </c>
      <c r="K14" s="567">
        <f t="shared" si="17"/>
        <v>1.0000000000000002</v>
      </c>
      <c r="L14" s="565">
        <f t="shared" si="17"/>
        <v>1883450.85</v>
      </c>
      <c r="M14" s="566">
        <f t="shared" si="17"/>
        <v>332154.12</v>
      </c>
      <c r="N14" s="566">
        <f t="shared" si="17"/>
        <v>36536.74</v>
      </c>
      <c r="O14" s="566">
        <f t="shared" si="17"/>
        <v>2252141.71</v>
      </c>
      <c r="P14" s="567">
        <f t="shared" si="17"/>
        <v>1</v>
      </c>
      <c r="Q14" s="568">
        <f>IF(ISERROR(O14/J14),"",O14/J14)</f>
        <v>0.97631997340137666</v>
      </c>
      <c r="R14" s="565">
        <f>SUM(R4:R13)</f>
        <v>2225140</v>
      </c>
      <c r="S14" s="569"/>
      <c r="T14" s="566">
        <f>SUM(T4:T13)</f>
        <v>36540</v>
      </c>
      <c r="U14" s="566">
        <f>SUM(U4:U13)</f>
        <v>2261680</v>
      </c>
      <c r="V14" s="570">
        <f>SUM(V4:V13)</f>
        <v>1</v>
      </c>
      <c r="W14" s="565">
        <f t="shared" ref="W14:AF14" si="18">SUM(W4:W13)</f>
        <v>2168316</v>
      </c>
      <c r="X14" s="566">
        <f t="shared" si="18"/>
        <v>0</v>
      </c>
      <c r="Y14" s="566">
        <f t="shared" si="18"/>
        <v>36540</v>
      </c>
      <c r="Z14" s="566">
        <f t="shared" si="18"/>
        <v>2204856</v>
      </c>
      <c r="AA14" s="567">
        <f t="shared" si="18"/>
        <v>0.95582127079999135</v>
      </c>
      <c r="AB14" s="565">
        <f t="shared" si="18"/>
        <v>554161.36</v>
      </c>
      <c r="AC14" s="566">
        <f t="shared" si="18"/>
        <v>0</v>
      </c>
      <c r="AD14" s="566">
        <f t="shared" si="18"/>
        <v>8025.42</v>
      </c>
      <c r="AE14" s="566">
        <f t="shared" si="18"/>
        <v>562186.77999999991</v>
      </c>
      <c r="AF14" s="567">
        <f t="shared" si="18"/>
        <v>0.24962318201548694</v>
      </c>
      <c r="AG14" s="659">
        <f>IF(ISERROR(R14/G14-1),"",R14/G14-1)</f>
        <v>0.13943568873224876</v>
      </c>
      <c r="AH14" s="659">
        <f t="shared" si="16"/>
        <v>-1</v>
      </c>
      <c r="AI14" s="660">
        <f t="shared" si="16"/>
        <v>-1.5416253392084966E-2</v>
      </c>
      <c r="AJ14" s="567">
        <f t="shared" si="16"/>
        <v>-1.9545107824309405E-2</v>
      </c>
    </row>
  </sheetData>
  <sheetProtection password="E91F" sheet="1" objects="1" scenarios="1"/>
  <mergeCells count="8">
    <mergeCell ref="AG2:AJ2"/>
    <mergeCell ref="W2:AA2"/>
    <mergeCell ref="AB2:AF2"/>
    <mergeCell ref="C2:F2"/>
    <mergeCell ref="G2:K2"/>
    <mergeCell ref="L2:P2"/>
    <mergeCell ref="Q2:Q3"/>
    <mergeCell ref="R2:V2"/>
  </mergeCells>
  <phoneticPr fontId="60" type="noConversion"/>
  <pageMargins left="0.70866141732283472" right="0.70866141732283472" top="0.74803149606299213" bottom="0.74803149606299213" header="0.31496062992125984" footer="0.31496062992125984"/>
  <pageSetup scale="83" orientation="landscape" r:id="rId1"/>
  <colBreaks count="3" manualBreakCount="3">
    <brk id="11" max="1048575" man="1"/>
    <brk id="17" max="1048575" man="1"/>
    <brk id="27" max="1048575" man="1"/>
  </colBreaks>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9"/>
  <sheetViews>
    <sheetView view="pageBreakPreview" zoomScale="76" zoomScaleNormal="100" zoomScaleSheetLayoutView="76" workbookViewId="0">
      <selection activeCell="C46" sqref="C46"/>
    </sheetView>
  </sheetViews>
  <sheetFormatPr baseColWidth="10" defaultRowHeight="15" x14ac:dyDescent="0.25"/>
  <cols>
    <col min="1" max="1" width="3.5703125" style="141" customWidth="1"/>
    <col min="2" max="2" width="84.7109375" style="141" customWidth="1"/>
    <col min="3" max="3" width="13.140625" style="141" bestFit="1" customWidth="1"/>
    <col min="4" max="4" width="11.42578125" style="141"/>
    <col min="5" max="5" width="13.85546875" style="141" customWidth="1"/>
    <col min="6" max="16384" width="11.42578125" style="141"/>
  </cols>
  <sheetData>
    <row r="1" spans="2:5" ht="15.75" x14ac:dyDescent="0.25">
      <c r="B1" s="1200" t="s">
        <v>205</v>
      </c>
      <c r="C1" s="1200"/>
      <c r="D1" s="1200"/>
    </row>
    <row r="2" spans="2:5" ht="15.75" thickBot="1" x14ac:dyDescent="0.3"/>
    <row r="3" spans="2:5" ht="30" x14ac:dyDescent="0.25">
      <c r="B3" s="666" t="s">
        <v>189</v>
      </c>
      <c r="C3" s="667">
        <v>2009</v>
      </c>
      <c r="D3" s="667">
        <v>2010</v>
      </c>
      <c r="E3" s="668" t="s">
        <v>676</v>
      </c>
    </row>
    <row r="4" spans="2:5" x14ac:dyDescent="0.25">
      <c r="B4" s="146" t="s">
        <v>605</v>
      </c>
      <c r="C4" s="664"/>
      <c r="D4" s="664"/>
      <c r="E4" s="665" t="str">
        <f>IF(ISERROR(D4/C4-1),"",D4/C4-1)</f>
        <v/>
      </c>
    </row>
    <row r="5" spans="2:5" x14ac:dyDescent="0.25">
      <c r="B5" s="147" t="s">
        <v>190</v>
      </c>
      <c r="C5" s="1078">
        <v>45</v>
      </c>
      <c r="D5" s="1079">
        <v>71</v>
      </c>
      <c r="E5" s="187">
        <f>IF(ISERROR(D5/C5-1),"",D5/C5-1)</f>
        <v>0.57777777777777772</v>
      </c>
    </row>
    <row r="6" spans="2:5" x14ac:dyDescent="0.25">
      <c r="B6" s="147" t="s">
        <v>42</v>
      </c>
      <c r="C6" s="1078">
        <v>20</v>
      </c>
      <c r="D6" s="1079">
        <v>7</v>
      </c>
      <c r="E6" s="187">
        <f t="shared" ref="E6:E49" si="0">IF(ISERROR(D6/C6-1),"",D6/C6-1)</f>
        <v>-0.65</v>
      </c>
    </row>
    <row r="7" spans="2:5" x14ac:dyDescent="0.25">
      <c r="B7" s="147" t="s">
        <v>191</v>
      </c>
      <c r="C7" s="1078">
        <v>70</v>
      </c>
      <c r="D7" s="1079">
        <v>7</v>
      </c>
      <c r="E7" s="187">
        <f t="shared" si="0"/>
        <v>-0.9</v>
      </c>
    </row>
    <row r="8" spans="2:5" x14ac:dyDescent="0.25">
      <c r="B8" s="147" t="s">
        <v>44</v>
      </c>
      <c r="C8" s="1078">
        <v>0</v>
      </c>
      <c r="D8" s="1079">
        <v>0</v>
      </c>
      <c r="E8" s="187" t="str">
        <f t="shared" si="0"/>
        <v/>
      </c>
    </row>
    <row r="9" spans="2:5" x14ac:dyDescent="0.25">
      <c r="B9" s="147" t="s">
        <v>45</v>
      </c>
      <c r="C9" s="1078">
        <v>30</v>
      </c>
      <c r="D9" s="1079">
        <v>5</v>
      </c>
      <c r="E9" s="187">
        <f t="shared" si="0"/>
        <v>-0.83333333333333337</v>
      </c>
    </row>
    <row r="10" spans="2:5" x14ac:dyDescent="0.25">
      <c r="B10" s="147" t="s">
        <v>47</v>
      </c>
      <c r="C10" s="1079">
        <v>0</v>
      </c>
      <c r="D10" s="1079">
        <v>0</v>
      </c>
      <c r="E10" s="187" t="str">
        <f t="shared" si="0"/>
        <v/>
      </c>
    </row>
    <row r="11" spans="2:5" x14ac:dyDescent="0.25">
      <c r="B11" s="146" t="s">
        <v>604</v>
      </c>
      <c r="C11" s="1079">
        <v>20</v>
      </c>
      <c r="D11" s="1079">
        <v>7</v>
      </c>
      <c r="E11" s="187">
        <f t="shared" si="0"/>
        <v>-0.65</v>
      </c>
    </row>
    <row r="12" spans="2:5" x14ac:dyDescent="0.25">
      <c r="B12" s="147" t="s">
        <v>192</v>
      </c>
      <c r="C12" s="1080">
        <v>300</v>
      </c>
      <c r="D12" s="1081">
        <v>496</v>
      </c>
      <c r="E12" s="187">
        <f t="shared" si="0"/>
        <v>0.65333333333333332</v>
      </c>
    </row>
    <row r="13" spans="2:5" x14ac:dyDescent="0.25">
      <c r="B13" s="147" t="s">
        <v>193</v>
      </c>
      <c r="C13" s="1080">
        <v>56</v>
      </c>
      <c r="D13" s="1081">
        <v>12</v>
      </c>
      <c r="E13" s="187">
        <f t="shared" si="0"/>
        <v>-0.7857142857142857</v>
      </c>
    </row>
    <row r="14" spans="2:5" x14ac:dyDescent="0.25">
      <c r="B14" s="147" t="s">
        <v>194</v>
      </c>
      <c r="C14" s="149">
        <f>IF(ISERROR(C13/C12),"",C13/C12)</f>
        <v>0.18666666666666668</v>
      </c>
      <c r="D14" s="149">
        <f>IF(ISERROR(D13/D12),"",D13/D12)</f>
        <v>2.4193548387096774E-2</v>
      </c>
      <c r="E14" s="187">
        <f t="shared" si="0"/>
        <v>-0.87039170506912444</v>
      </c>
    </row>
    <row r="15" spans="2:5" x14ac:dyDescent="0.25">
      <c r="B15" s="146" t="s">
        <v>195</v>
      </c>
      <c r="C15" s="1032">
        <f>'4_Comportamiento_Produccion'!J8+'4_Comportamiento_Produccion'!J9</f>
        <v>1073</v>
      </c>
      <c r="D15" s="1032">
        <f>'4_Comportamiento_Produccion'!K8+'4_Comportamiento_Produccion'!K9</f>
        <v>1097</v>
      </c>
      <c r="E15" s="187">
        <f t="shared" si="0"/>
        <v>2.2367194780987809E-2</v>
      </c>
    </row>
    <row r="16" spans="2:5" x14ac:dyDescent="0.25">
      <c r="B16" s="147" t="s">
        <v>196</v>
      </c>
      <c r="C16" s="1032">
        <f>'4_Comportamiento_Produccion'!J9</f>
        <v>261</v>
      </c>
      <c r="D16" s="1032">
        <f>'4_Comportamiento_Produccion'!K9</f>
        <v>223</v>
      </c>
      <c r="E16" s="187">
        <f t="shared" si="0"/>
        <v>-0.14559386973180077</v>
      </c>
    </row>
    <row r="17" spans="2:5" x14ac:dyDescent="0.25">
      <c r="B17" s="147" t="s">
        <v>606</v>
      </c>
      <c r="C17" s="149">
        <f>IF(ISERROR(C16/C15),"",C16/C15)</f>
        <v>0.24324324324324326</v>
      </c>
      <c r="D17" s="149">
        <f>IF(ISERROR(D16/D15),"",D16/D15)</f>
        <v>0.20328167730173199</v>
      </c>
      <c r="E17" s="187">
        <f t="shared" si="0"/>
        <v>-0.16428643775954632</v>
      </c>
    </row>
    <row r="18" spans="2:5" x14ac:dyDescent="0.25">
      <c r="B18" s="146" t="s">
        <v>197</v>
      </c>
      <c r="C18" s="1081">
        <v>45</v>
      </c>
      <c r="D18" s="1081">
        <v>31</v>
      </c>
      <c r="E18" s="187">
        <f t="shared" si="0"/>
        <v>-0.31111111111111112</v>
      </c>
    </row>
    <row r="19" spans="2:5" x14ac:dyDescent="0.25">
      <c r="B19" s="147" t="s">
        <v>607</v>
      </c>
      <c r="C19" s="149">
        <f>IF(ISERROR(C18/'5_Produccion_Desagregada_10_09'!C18),"",C18/'5_Produccion_Desagregada_10_09'!C18)</f>
        <v>7.5949367088607592E-3</v>
      </c>
      <c r="D19" s="149">
        <f>IF(ISERROR(D18/'2_Atenciones_CapCIE_10-10'!F25),"",D18/'2_Atenciones_CapCIE_10-10'!F25)</f>
        <v>5.3282915091096596E-3</v>
      </c>
      <c r="E19" s="187">
        <f t="shared" si="0"/>
        <v>-0.29844161796722812</v>
      </c>
    </row>
    <row r="20" spans="2:5" x14ac:dyDescent="0.25">
      <c r="B20" s="146" t="s">
        <v>198</v>
      </c>
      <c r="C20" s="1081">
        <v>24</v>
      </c>
      <c r="D20" s="1081">
        <v>32</v>
      </c>
      <c r="E20" s="187">
        <f t="shared" si="0"/>
        <v>0.33333333333333326</v>
      </c>
    </row>
    <row r="21" spans="2:5" x14ac:dyDescent="0.25">
      <c r="B21" s="147" t="s">
        <v>199</v>
      </c>
      <c r="C21" s="149">
        <f>IF(ISERROR(C20/SUM(C20,C22)),"",C20/SUM(C20,C22))</f>
        <v>0.54545454545454541</v>
      </c>
      <c r="D21" s="149">
        <f>IF(ISERROR(D20/SUM(D20,D22)),"",D20/SUM(D20,D22))</f>
        <v>0.5423728813559322</v>
      </c>
      <c r="E21" s="187">
        <f t="shared" si="0"/>
        <v>-5.6497175141242417E-3</v>
      </c>
    </row>
    <row r="22" spans="2:5" x14ac:dyDescent="0.25">
      <c r="B22" s="146" t="s">
        <v>200</v>
      </c>
      <c r="C22" s="1081">
        <v>20</v>
      </c>
      <c r="D22" s="1081">
        <v>27</v>
      </c>
      <c r="E22" s="187">
        <f t="shared" si="0"/>
        <v>0.35000000000000009</v>
      </c>
    </row>
    <row r="23" spans="2:5" x14ac:dyDescent="0.25">
      <c r="B23" s="147" t="s">
        <v>201</v>
      </c>
      <c r="C23" s="149">
        <f>IF(ISERROR(C22/SUM(C20,C22)),"",C22/SUM(C20,C22))</f>
        <v>0.45454545454545453</v>
      </c>
      <c r="D23" s="149">
        <f>IF(ISERROR(D22/SUM(D20,D22)),"",D22/SUM(D20,D22))</f>
        <v>0.4576271186440678</v>
      </c>
      <c r="E23" s="187">
        <f t="shared" si="0"/>
        <v>6.7796610169492677E-3</v>
      </c>
    </row>
    <row r="24" spans="2:5" x14ac:dyDescent="0.25">
      <c r="B24" s="151" t="s">
        <v>202</v>
      </c>
      <c r="C24" s="152"/>
      <c r="D24" s="152"/>
      <c r="E24" s="665" t="str">
        <f t="shared" si="0"/>
        <v/>
      </c>
    </row>
    <row r="25" spans="2:5" x14ac:dyDescent="0.25">
      <c r="B25" s="147" t="s">
        <v>608</v>
      </c>
      <c r="C25" s="661"/>
      <c r="D25" s="148">
        <v>395</v>
      </c>
      <c r="E25" s="187" t="str">
        <f t="shared" si="0"/>
        <v/>
      </c>
    </row>
    <row r="26" spans="2:5" x14ac:dyDescent="0.25">
      <c r="B26" s="147" t="s">
        <v>609</v>
      </c>
      <c r="C26" s="661"/>
      <c r="D26" s="148">
        <v>367</v>
      </c>
      <c r="E26" s="187" t="str">
        <f t="shared" si="0"/>
        <v/>
      </c>
    </row>
    <row r="27" spans="2:5" x14ac:dyDescent="0.25">
      <c r="B27" s="147" t="s">
        <v>610</v>
      </c>
      <c r="C27" s="661"/>
      <c r="D27" s="148">
        <v>850</v>
      </c>
      <c r="E27" s="187" t="str">
        <f t="shared" si="0"/>
        <v/>
      </c>
    </row>
    <row r="28" spans="2:5" x14ac:dyDescent="0.25">
      <c r="B28" s="147" t="s">
        <v>611</v>
      </c>
      <c r="C28" s="661"/>
      <c r="D28" s="148">
        <v>88</v>
      </c>
      <c r="E28" s="187" t="str">
        <f t="shared" si="0"/>
        <v/>
      </c>
    </row>
    <row r="29" spans="2:5" x14ac:dyDescent="0.25">
      <c r="B29" s="147" t="s">
        <v>612</v>
      </c>
      <c r="C29" s="150">
        <f>SUM(C25:C28)</f>
        <v>0</v>
      </c>
      <c r="D29" s="150">
        <f>SUM(D25:D28)</f>
        <v>1700</v>
      </c>
      <c r="E29" s="187" t="str">
        <f t="shared" si="0"/>
        <v/>
      </c>
    </row>
    <row r="30" spans="2:5" x14ac:dyDescent="0.25">
      <c r="B30" s="151" t="s">
        <v>203</v>
      </c>
      <c r="C30" s="152"/>
      <c r="D30" s="152"/>
      <c r="E30" s="665" t="str">
        <f t="shared" si="0"/>
        <v/>
      </c>
    </row>
    <row r="31" spans="2:5" x14ac:dyDescent="0.25">
      <c r="B31" s="147" t="s">
        <v>613</v>
      </c>
      <c r="C31" s="661"/>
      <c r="D31" s="148">
        <v>100</v>
      </c>
      <c r="E31" s="187" t="str">
        <f t="shared" si="0"/>
        <v/>
      </c>
    </row>
    <row r="32" spans="2:5" x14ac:dyDescent="0.25">
      <c r="B32" s="147" t="s">
        <v>614</v>
      </c>
      <c r="C32" s="148"/>
      <c r="D32" s="148">
        <v>90</v>
      </c>
      <c r="E32" s="187" t="str">
        <f t="shared" si="0"/>
        <v/>
      </c>
    </row>
    <row r="33" spans="2:5" x14ac:dyDescent="0.25">
      <c r="B33" s="147" t="s">
        <v>615</v>
      </c>
      <c r="C33" s="148"/>
      <c r="D33" s="148">
        <v>203</v>
      </c>
      <c r="E33" s="187" t="str">
        <f t="shared" si="0"/>
        <v/>
      </c>
    </row>
    <row r="34" spans="2:5" x14ac:dyDescent="0.25">
      <c r="B34" s="147" t="s">
        <v>616</v>
      </c>
      <c r="C34" s="148"/>
      <c r="D34" s="148">
        <v>70</v>
      </c>
      <c r="E34" s="187" t="str">
        <f t="shared" si="0"/>
        <v/>
      </c>
    </row>
    <row r="35" spans="2:5" x14ac:dyDescent="0.25">
      <c r="B35" s="147" t="s">
        <v>617</v>
      </c>
      <c r="C35" s="150">
        <f>SUM(C31:C34)</f>
        <v>0</v>
      </c>
      <c r="D35" s="150">
        <f>SUM(D31:D34)</f>
        <v>463</v>
      </c>
      <c r="E35" s="187" t="str">
        <f t="shared" si="0"/>
        <v/>
      </c>
    </row>
    <row r="36" spans="2:5" x14ac:dyDescent="0.25">
      <c r="B36" s="305" t="s">
        <v>618</v>
      </c>
      <c r="C36" s="662">
        <v>0.9</v>
      </c>
      <c r="D36" s="306">
        <v>0.9</v>
      </c>
      <c r="E36" s="187">
        <f t="shared" si="0"/>
        <v>0</v>
      </c>
    </row>
    <row r="37" spans="2:5" x14ac:dyDescent="0.25">
      <c r="B37" s="151" t="s">
        <v>204</v>
      </c>
      <c r="C37" s="152"/>
      <c r="D37" s="152"/>
      <c r="E37" s="665" t="str">
        <f t="shared" si="0"/>
        <v/>
      </c>
    </row>
    <row r="38" spans="2:5" x14ac:dyDescent="0.25">
      <c r="B38" s="305" t="s">
        <v>169</v>
      </c>
      <c r="C38" s="1033"/>
      <c r="D38" s="1033"/>
      <c r="E38" s="1031" t="str">
        <f t="shared" si="0"/>
        <v/>
      </c>
    </row>
    <row r="39" spans="2:5" x14ac:dyDescent="0.25">
      <c r="B39" s="147" t="s">
        <v>176</v>
      </c>
      <c r="C39" s="307">
        <v>0.99</v>
      </c>
      <c r="D39" s="1034">
        <f>'11_Inform_Gral_Presupuesto'!Q4</f>
        <v>0.9935957404091601</v>
      </c>
      <c r="E39" s="1031">
        <f t="shared" si="0"/>
        <v>3.6320610193536496E-3</v>
      </c>
    </row>
    <row r="40" spans="2:5" x14ac:dyDescent="0.25">
      <c r="B40" s="147" t="s">
        <v>177</v>
      </c>
      <c r="C40" s="307">
        <v>1</v>
      </c>
      <c r="D40" s="1034">
        <f>'11_Inform_Gral_Presupuesto'!Q5</f>
        <v>0.99806856591018833</v>
      </c>
      <c r="E40" s="1031">
        <f t="shared" si="0"/>
        <v>-1.9314340898116678E-3</v>
      </c>
    </row>
    <row r="41" spans="2:5" x14ac:dyDescent="0.25">
      <c r="B41" s="147" t="s">
        <v>602</v>
      </c>
      <c r="C41" s="307">
        <v>1</v>
      </c>
      <c r="D41" s="1034">
        <f>'11_Inform_Gral_Presupuesto'!Q6</f>
        <v>0.99998922419419467</v>
      </c>
      <c r="E41" s="1031">
        <f t="shared" si="0"/>
        <v>-1.0775805805329775E-5</v>
      </c>
    </row>
    <row r="42" spans="2:5" x14ac:dyDescent="0.25">
      <c r="B42" s="147" t="s">
        <v>603</v>
      </c>
      <c r="C42" s="307">
        <v>1</v>
      </c>
      <c r="D42" s="1034">
        <f>'11_Inform_Gral_Presupuesto'!Q7</f>
        <v>1</v>
      </c>
      <c r="E42" s="1031">
        <f t="shared" si="0"/>
        <v>0</v>
      </c>
    </row>
    <row r="43" spans="2:5" x14ac:dyDescent="0.25">
      <c r="B43" s="147" t="s">
        <v>180</v>
      </c>
      <c r="C43" s="307">
        <v>0.98</v>
      </c>
      <c r="D43" s="1034">
        <f>'11_Inform_Gral_Presupuesto'!Q8</f>
        <v>0.67120253726426038</v>
      </c>
      <c r="E43" s="1031">
        <f t="shared" si="0"/>
        <v>-0.31509945177116283</v>
      </c>
    </row>
    <row r="44" spans="2:5" x14ac:dyDescent="0.25">
      <c r="B44" s="147" t="s">
        <v>181</v>
      </c>
      <c r="C44" s="307">
        <v>1</v>
      </c>
      <c r="D44" s="1034">
        <f>'11_Inform_Gral_Presupuesto'!Q9</f>
        <v>0.9999887682508265</v>
      </c>
      <c r="E44" s="1031">
        <f t="shared" si="0"/>
        <v>-1.1231749173501449E-5</v>
      </c>
    </row>
    <row r="45" spans="2:5" x14ac:dyDescent="0.25">
      <c r="B45" s="663" t="s">
        <v>662</v>
      </c>
      <c r="C45" s="307">
        <v>0</v>
      </c>
      <c r="D45" s="1034">
        <f>'11_Inform_Gral_Presupuesto'!Q10</f>
        <v>1</v>
      </c>
      <c r="E45" s="1031" t="str">
        <f t="shared" si="0"/>
        <v/>
      </c>
    </row>
    <row r="46" spans="2:5" x14ac:dyDescent="0.25">
      <c r="B46" s="663" t="s">
        <v>663</v>
      </c>
      <c r="C46" s="307"/>
      <c r="D46" s="1034" t="str">
        <f>'11_Inform_Gral_Presupuesto'!Q11</f>
        <v/>
      </c>
      <c r="E46" s="1031" t="str">
        <f t="shared" si="0"/>
        <v/>
      </c>
    </row>
    <row r="47" spans="2:5" x14ac:dyDescent="0.25">
      <c r="B47" s="663" t="s">
        <v>664</v>
      </c>
      <c r="C47" s="307">
        <v>1</v>
      </c>
      <c r="D47" s="1034">
        <f>'11_Inform_Gral_Presupuesto'!Q12</f>
        <v>1</v>
      </c>
      <c r="E47" s="1031">
        <f t="shared" si="0"/>
        <v>0</v>
      </c>
    </row>
    <row r="48" spans="2:5" x14ac:dyDescent="0.25">
      <c r="B48" s="147" t="s">
        <v>59</v>
      </c>
      <c r="C48" s="307">
        <v>1</v>
      </c>
      <c r="D48" s="1034">
        <f>'11_Inform_Gral_Presupuesto'!Q13</f>
        <v>0.9984664359309966</v>
      </c>
      <c r="E48" s="1031">
        <f t="shared" si="0"/>
        <v>-1.5335640690034014E-3</v>
      </c>
    </row>
    <row r="49" spans="2:5" ht="15.75" thickBot="1" x14ac:dyDescent="0.3">
      <c r="B49" s="1035" t="s">
        <v>33</v>
      </c>
      <c r="C49" s="1038">
        <v>0.98</v>
      </c>
      <c r="D49" s="1036">
        <f>'11_Inform_Gral_Presupuesto'!Q14</f>
        <v>0.97631997340137666</v>
      </c>
      <c r="E49" s="1037">
        <f t="shared" si="0"/>
        <v>-3.7551291822687238E-3</v>
      </c>
    </row>
  </sheetData>
  <sheetProtection password="EADF" sheet="1" objects="1" scenarios="1" selectLockedCells="1"/>
  <protectedRanges>
    <protectedRange sqref="C15:D16" name="Rango1"/>
  </protectedRanges>
  <mergeCells count="1">
    <mergeCell ref="B1:D1"/>
  </mergeCells>
  <phoneticPr fontId="60" type="noConversion"/>
  <pageMargins left="0.70866141732283472" right="0.70866141732283472" top="0.74803149606299213" bottom="0.74803149606299213" header="0.31496062992125984" footer="0.31496062992125984"/>
  <pageSetup scale="93" orientation="landscape" horizontalDpi="4294967293" r:id="rId1"/>
  <rowBreaks count="1" manualBreakCount="1">
    <brk id="36"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view="pageBreakPreview" topLeftCell="A13" zoomScaleNormal="100" zoomScaleSheetLayoutView="100" workbookViewId="0">
      <selection activeCell="D44" sqref="D44"/>
    </sheetView>
  </sheetViews>
  <sheetFormatPr baseColWidth="10" defaultRowHeight="15" x14ac:dyDescent="0.25"/>
  <cols>
    <col min="1" max="1" width="2.42578125" style="681" customWidth="1"/>
    <col min="2" max="2" width="45.42578125" style="681" customWidth="1"/>
    <col min="3" max="3" width="29" style="681" customWidth="1"/>
    <col min="4" max="4" width="16.28515625" style="681" customWidth="1"/>
    <col min="5" max="16384" width="11.42578125" style="681"/>
  </cols>
  <sheetData>
    <row r="1" spans="1:4" s="679" customFormat="1" ht="15.75" x14ac:dyDescent="0.25">
      <c r="A1" s="678"/>
      <c r="B1" s="101" t="s">
        <v>230</v>
      </c>
    </row>
    <row r="2" spans="1:4" s="679" customFormat="1" ht="15.75" thickBot="1" x14ac:dyDescent="0.3">
      <c r="B2" s="153" t="s">
        <v>231</v>
      </c>
      <c r="C2" s="680"/>
    </row>
    <row r="3" spans="1:4" ht="22.5" customHeight="1" x14ac:dyDescent="0.25">
      <c r="A3" s="679"/>
      <c r="B3" s="365" t="s">
        <v>101</v>
      </c>
      <c r="C3" s="366" t="s">
        <v>206</v>
      </c>
      <c r="D3" s="669" t="s">
        <v>207</v>
      </c>
    </row>
    <row r="4" spans="1:4" ht="22.5" customHeight="1" x14ac:dyDescent="0.25">
      <c r="B4" s="682" t="s">
        <v>208</v>
      </c>
      <c r="C4" s="683">
        <v>365</v>
      </c>
      <c r="D4" s="684">
        <v>365</v>
      </c>
    </row>
    <row r="5" spans="1:4" ht="22.5" customHeight="1" x14ac:dyDescent="0.25">
      <c r="B5" s="685" t="s">
        <v>209</v>
      </c>
      <c r="C5" s="965"/>
      <c r="D5" s="1082">
        <v>23</v>
      </c>
    </row>
    <row r="6" spans="1:4" ht="22.5" customHeight="1" x14ac:dyDescent="0.25">
      <c r="B6" s="685" t="s">
        <v>210</v>
      </c>
      <c r="C6" s="965"/>
      <c r="D6" s="966"/>
    </row>
    <row r="7" spans="1:4" ht="22.5" customHeight="1" x14ac:dyDescent="0.25">
      <c r="B7" s="685" t="s">
        <v>622</v>
      </c>
      <c r="C7" s="965"/>
      <c r="D7" s="966"/>
    </row>
    <row r="8" spans="1:4" ht="22.5" customHeight="1" x14ac:dyDescent="0.25">
      <c r="B8" s="682" t="s">
        <v>211</v>
      </c>
      <c r="C8" s="683">
        <f>C4-SUM(C5:C7)</f>
        <v>365</v>
      </c>
      <c r="D8" s="684">
        <f>D4-SUM(D5:D7)</f>
        <v>342</v>
      </c>
    </row>
    <row r="9" spans="1:4" ht="22.5" customHeight="1" x14ac:dyDescent="0.25">
      <c r="B9" s="685" t="s">
        <v>212</v>
      </c>
      <c r="C9" s="154"/>
      <c r="D9" s="155"/>
    </row>
    <row r="10" spans="1:4" ht="22.5" customHeight="1" x14ac:dyDescent="0.25">
      <c r="B10" s="685" t="s">
        <v>213</v>
      </c>
      <c r="C10" s="686">
        <f>IF(ISERROR(C8*C9),"",ROUND(C8*C9,1))</f>
        <v>0</v>
      </c>
      <c r="D10" s="687">
        <f>IF(ISERROR(D8*D9),"",ROUND(D8*D9,1))</f>
        <v>0</v>
      </c>
    </row>
    <row r="11" spans="1:4" ht="22.5" customHeight="1" x14ac:dyDescent="0.25">
      <c r="B11" s="682" t="s">
        <v>214</v>
      </c>
      <c r="C11" s="688">
        <f>SUM(C8)-SUM(C10)</f>
        <v>365</v>
      </c>
      <c r="D11" s="689">
        <f>SUM(D8)-SUM(D10)</f>
        <v>342</v>
      </c>
    </row>
    <row r="12" spans="1:4" ht="22.5" customHeight="1" x14ac:dyDescent="0.25">
      <c r="B12" s="690" t="s">
        <v>621</v>
      </c>
      <c r="C12" s="691">
        <v>12</v>
      </c>
      <c r="D12" s="692">
        <v>12</v>
      </c>
    </row>
    <row r="13" spans="1:4" x14ac:dyDescent="0.25">
      <c r="B13" s="693"/>
      <c r="C13" s="694"/>
    </row>
    <row r="14" spans="1:4" s="679" customFormat="1" x14ac:dyDescent="0.25">
      <c r="A14" s="681"/>
      <c r="B14" s="153" t="s">
        <v>232</v>
      </c>
      <c r="C14" s="680"/>
      <c r="D14" s="680"/>
    </row>
    <row r="15" spans="1:4" s="679" customFormat="1" ht="15.75" thickBot="1" x14ac:dyDescent="0.3">
      <c r="B15" s="670" t="s">
        <v>620</v>
      </c>
      <c r="C15" s="695"/>
      <c r="D15" s="695"/>
    </row>
    <row r="16" spans="1:4" ht="23.25" thickBot="1" x14ac:dyDescent="0.3">
      <c r="A16" s="679"/>
      <c r="B16" s="707" t="s">
        <v>215</v>
      </c>
      <c r="C16" s="708" t="s">
        <v>101</v>
      </c>
      <c r="D16" s="709" t="s">
        <v>216</v>
      </c>
    </row>
    <row r="17" spans="1:4" s="679" customFormat="1" x14ac:dyDescent="0.25">
      <c r="A17" s="681"/>
      <c r="B17" s="703" t="s">
        <v>71</v>
      </c>
      <c r="C17" s="710"/>
      <c r="D17" s="711"/>
    </row>
    <row r="18" spans="1:4" x14ac:dyDescent="0.25">
      <c r="A18" s="679"/>
      <c r="B18" s="697" t="s">
        <v>71</v>
      </c>
      <c r="C18" s="698" t="s">
        <v>217</v>
      </c>
      <c r="D18" s="157">
        <v>10</v>
      </c>
    </row>
    <row r="19" spans="1:4" x14ac:dyDescent="0.25">
      <c r="B19" s="690" t="s">
        <v>71</v>
      </c>
      <c r="C19" s="698" t="s">
        <v>218</v>
      </c>
      <c r="D19" s="157">
        <v>15</v>
      </c>
    </row>
    <row r="20" spans="1:4" s="679" customFormat="1" x14ac:dyDescent="0.25">
      <c r="A20" s="681"/>
      <c r="B20" s="696" t="s">
        <v>72</v>
      </c>
      <c r="C20" s="671"/>
      <c r="D20" s="672"/>
    </row>
    <row r="21" spans="1:4" x14ac:dyDescent="0.25">
      <c r="A21" s="679"/>
      <c r="B21" s="697" t="s">
        <v>72</v>
      </c>
      <c r="C21" s="698" t="s">
        <v>217</v>
      </c>
      <c r="D21" s="157">
        <v>15</v>
      </c>
    </row>
    <row r="22" spans="1:4" x14ac:dyDescent="0.25">
      <c r="B22" s="690" t="s">
        <v>72</v>
      </c>
      <c r="C22" s="698" t="s">
        <v>218</v>
      </c>
      <c r="D22" s="157">
        <v>15</v>
      </c>
    </row>
    <row r="23" spans="1:4" x14ac:dyDescent="0.25">
      <c r="B23" s="696" t="s">
        <v>219</v>
      </c>
      <c r="C23" s="699"/>
      <c r="D23" s="673"/>
    </row>
    <row r="24" spans="1:4" x14ac:dyDescent="0.25">
      <c r="B24" s="685" t="s">
        <v>41</v>
      </c>
      <c r="C24" s="700" t="s">
        <v>220</v>
      </c>
      <c r="D24" s="1083">
        <v>60</v>
      </c>
    </row>
    <row r="25" spans="1:4" x14ac:dyDescent="0.25">
      <c r="B25" s="685" t="s">
        <v>41</v>
      </c>
      <c r="C25" s="700" t="s">
        <v>221</v>
      </c>
      <c r="D25" s="1083">
        <v>15</v>
      </c>
    </row>
    <row r="26" spans="1:4" x14ac:dyDescent="0.25">
      <c r="B26" s="685" t="s">
        <v>42</v>
      </c>
      <c r="C26" s="700" t="s">
        <v>220</v>
      </c>
      <c r="D26" s="1083">
        <v>60</v>
      </c>
    </row>
    <row r="27" spans="1:4" x14ac:dyDescent="0.25">
      <c r="B27" s="685" t="s">
        <v>42</v>
      </c>
      <c r="C27" s="700" t="s">
        <v>221</v>
      </c>
      <c r="D27" s="1083">
        <v>15</v>
      </c>
    </row>
    <row r="28" spans="1:4" x14ac:dyDescent="0.25">
      <c r="B28" s="685" t="s">
        <v>43</v>
      </c>
      <c r="C28" s="700" t="s">
        <v>220</v>
      </c>
      <c r="D28" s="1083">
        <v>60</v>
      </c>
    </row>
    <row r="29" spans="1:4" x14ac:dyDescent="0.25">
      <c r="B29" s="685" t="s">
        <v>43</v>
      </c>
      <c r="C29" s="700" t="s">
        <v>221</v>
      </c>
      <c r="D29" s="1083">
        <v>15</v>
      </c>
    </row>
    <row r="30" spans="1:4" x14ac:dyDescent="0.25">
      <c r="B30" s="685" t="s">
        <v>44</v>
      </c>
      <c r="C30" s="700" t="s">
        <v>220</v>
      </c>
      <c r="D30" s="1083">
        <v>60</v>
      </c>
    </row>
    <row r="31" spans="1:4" x14ac:dyDescent="0.25">
      <c r="B31" s="685" t="s">
        <v>44</v>
      </c>
      <c r="C31" s="700" t="s">
        <v>221</v>
      </c>
      <c r="D31" s="1083">
        <v>15</v>
      </c>
    </row>
    <row r="32" spans="1:4" x14ac:dyDescent="0.25">
      <c r="B32" s="685" t="s">
        <v>45</v>
      </c>
      <c r="C32" s="700" t="s">
        <v>220</v>
      </c>
      <c r="D32" s="1083">
        <v>60</v>
      </c>
    </row>
    <row r="33" spans="2:4" x14ac:dyDescent="0.25">
      <c r="B33" s="685" t="s">
        <v>45</v>
      </c>
      <c r="C33" s="700" t="s">
        <v>221</v>
      </c>
      <c r="D33" s="1083">
        <v>15</v>
      </c>
    </row>
    <row r="34" spans="2:4" x14ac:dyDescent="0.25">
      <c r="B34" s="685" t="s">
        <v>46</v>
      </c>
      <c r="C34" s="700" t="s">
        <v>220</v>
      </c>
      <c r="D34" s="1083">
        <v>60</v>
      </c>
    </row>
    <row r="35" spans="2:4" x14ac:dyDescent="0.25">
      <c r="B35" s="685" t="s">
        <v>46</v>
      </c>
      <c r="C35" s="700" t="s">
        <v>221</v>
      </c>
      <c r="D35" s="1083">
        <v>15</v>
      </c>
    </row>
    <row r="36" spans="2:4" x14ac:dyDescent="0.25">
      <c r="B36" s="685" t="s">
        <v>47</v>
      </c>
      <c r="C36" s="700" t="s">
        <v>220</v>
      </c>
      <c r="D36" s="1083">
        <v>0</v>
      </c>
    </row>
    <row r="37" spans="2:4" x14ac:dyDescent="0.25">
      <c r="B37" s="685" t="s">
        <v>47</v>
      </c>
      <c r="C37" s="700" t="s">
        <v>221</v>
      </c>
      <c r="D37" s="1083">
        <v>0</v>
      </c>
    </row>
    <row r="38" spans="2:4" x14ac:dyDescent="0.25">
      <c r="B38" s="685" t="s">
        <v>59</v>
      </c>
      <c r="C38" s="700" t="s">
        <v>220</v>
      </c>
      <c r="D38" s="1083">
        <v>60</v>
      </c>
    </row>
    <row r="39" spans="2:4" x14ac:dyDescent="0.25">
      <c r="B39" s="685" t="s">
        <v>59</v>
      </c>
      <c r="C39" s="700" t="s">
        <v>221</v>
      </c>
      <c r="D39" s="1083">
        <v>15</v>
      </c>
    </row>
    <row r="40" spans="2:4" x14ac:dyDescent="0.25">
      <c r="B40" s="701" t="s">
        <v>222</v>
      </c>
      <c r="C40" s="702"/>
      <c r="D40" s="674"/>
    </row>
    <row r="41" spans="2:4" x14ac:dyDescent="0.25">
      <c r="B41" s="877" t="s">
        <v>619</v>
      </c>
      <c r="C41" s="700" t="s">
        <v>223</v>
      </c>
      <c r="D41" s="157">
        <v>60</v>
      </c>
    </row>
    <row r="42" spans="2:4" x14ac:dyDescent="0.25">
      <c r="B42" s="685" t="s">
        <v>124</v>
      </c>
      <c r="C42" s="677">
        <v>1</v>
      </c>
      <c r="D42" s="712"/>
    </row>
    <row r="43" spans="2:4" x14ac:dyDescent="0.25">
      <c r="B43" s="685" t="s">
        <v>125</v>
      </c>
      <c r="C43" s="677">
        <v>0</v>
      </c>
      <c r="D43" s="712"/>
    </row>
    <row r="44" spans="2:4" x14ac:dyDescent="0.25">
      <c r="B44" s="685" t="s">
        <v>224</v>
      </c>
      <c r="C44" s="700" t="s">
        <v>223</v>
      </c>
      <c r="D44" s="157">
        <v>120</v>
      </c>
    </row>
    <row r="45" spans="2:4" x14ac:dyDescent="0.25">
      <c r="B45" s="701" t="s">
        <v>42</v>
      </c>
      <c r="C45" s="702"/>
      <c r="D45" s="674"/>
    </row>
    <row r="46" spans="2:4" x14ac:dyDescent="0.25">
      <c r="B46" s="685" t="s">
        <v>42</v>
      </c>
      <c r="C46" s="675" t="s">
        <v>225</v>
      </c>
      <c r="D46" s="157">
        <v>90</v>
      </c>
    </row>
    <row r="47" spans="2:4" x14ac:dyDescent="0.25">
      <c r="B47" s="685" t="s">
        <v>42</v>
      </c>
      <c r="C47" s="675" t="s">
        <v>226</v>
      </c>
      <c r="D47" s="157">
        <v>150</v>
      </c>
    </row>
    <row r="48" spans="2:4" x14ac:dyDescent="0.25">
      <c r="B48" s="696" t="s">
        <v>227</v>
      </c>
      <c r="C48" s="700" t="s">
        <v>227</v>
      </c>
      <c r="D48" s="157">
        <v>30</v>
      </c>
    </row>
    <row r="49" spans="2:4" x14ac:dyDescent="0.25">
      <c r="B49" s="685" t="s">
        <v>229</v>
      </c>
      <c r="C49" s="677">
        <v>1</v>
      </c>
      <c r="D49" s="972"/>
    </row>
    <row r="50" spans="2:4" x14ac:dyDescent="0.25">
      <c r="B50" s="701" t="s">
        <v>693</v>
      </c>
      <c r="C50" s="970"/>
      <c r="D50" s="971"/>
    </row>
    <row r="51" spans="2:4" x14ac:dyDescent="0.25">
      <c r="B51" s="685" t="s">
        <v>694</v>
      </c>
      <c r="C51" s="675" t="s">
        <v>225</v>
      </c>
      <c r="D51" s="705"/>
    </row>
    <row r="52" spans="2:4" ht="15.75" thickBot="1" x14ac:dyDescent="0.3">
      <c r="B52" s="704" t="s">
        <v>695</v>
      </c>
      <c r="C52" s="676" t="s">
        <v>226</v>
      </c>
      <c r="D52" s="706"/>
    </row>
  </sheetData>
  <sheetProtection password="EADF" sheet="1" objects="1" scenarios="1"/>
  <phoneticPr fontId="60" type="noConversion"/>
  <pageMargins left="0.70866141732283472" right="0.70866141732283472" top="0.74803149606299213" bottom="0.74803149606299213" header="0.31496062992125984" footer="0.31496062992125984"/>
  <pageSetup scale="96" orientation="portrait" r:id="rId1"/>
  <rowBreaks count="1" manualBreakCount="1">
    <brk id="39" max="16383" man="1"/>
  </rowBreak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Q22"/>
  <sheetViews>
    <sheetView view="pageBreakPreview" zoomScale="87" zoomScaleNormal="100" zoomScaleSheetLayoutView="87" workbookViewId="0">
      <selection activeCell="E6" sqref="E6"/>
    </sheetView>
  </sheetViews>
  <sheetFormatPr baseColWidth="10" defaultRowHeight="15" x14ac:dyDescent="0.25"/>
  <cols>
    <col min="1" max="1" width="2.42578125" style="141" customWidth="1"/>
    <col min="2" max="2" width="49" style="141" customWidth="1"/>
    <col min="3" max="3" width="11.42578125" style="141"/>
    <col min="4" max="4" width="17.7109375" style="141" customWidth="1"/>
    <col min="5" max="5" width="13" style="141" customWidth="1"/>
    <col min="6" max="6" width="13.42578125" style="141" customWidth="1"/>
    <col min="7" max="8" width="12.28515625" style="141" customWidth="1"/>
    <col min="9" max="17" width="12.28515625" style="142" customWidth="1"/>
    <col min="18" max="16384" width="11.42578125" style="141"/>
  </cols>
  <sheetData>
    <row r="1" spans="2:17" x14ac:dyDescent="0.25">
      <c r="B1" s="1201" t="s">
        <v>245</v>
      </c>
      <c r="C1" s="1201"/>
      <c r="D1" s="1201"/>
      <c r="E1" s="1201"/>
      <c r="F1" s="1201"/>
      <c r="G1" s="1201"/>
      <c r="H1" s="116"/>
      <c r="I1" s="323"/>
      <c r="J1" s="323"/>
      <c r="K1" s="323"/>
      <c r="L1" s="323"/>
      <c r="M1" s="323"/>
      <c r="N1" s="323"/>
      <c r="O1" s="323"/>
      <c r="P1" s="323"/>
      <c r="Q1" s="323"/>
    </row>
    <row r="2" spans="2:17" ht="15.75" thickBot="1" x14ac:dyDescent="0.3"/>
    <row r="3" spans="2:17" ht="75" x14ac:dyDescent="0.25">
      <c r="B3" s="713" t="s">
        <v>703</v>
      </c>
      <c r="C3" s="714" t="s">
        <v>238</v>
      </c>
      <c r="D3" s="715" t="s">
        <v>239</v>
      </c>
      <c r="E3" s="715" t="s">
        <v>240</v>
      </c>
      <c r="F3" s="716" t="s">
        <v>241</v>
      </c>
      <c r="G3" s="715" t="s">
        <v>623</v>
      </c>
      <c r="H3" s="715" t="s">
        <v>51</v>
      </c>
      <c r="I3" s="717" t="s">
        <v>682</v>
      </c>
      <c r="J3" s="352"/>
      <c r="K3" s="352"/>
      <c r="L3" s="352"/>
      <c r="M3" s="352"/>
      <c r="N3" s="352"/>
      <c r="O3" s="352"/>
      <c r="P3" s="352"/>
      <c r="Q3" s="352"/>
    </row>
    <row r="4" spans="2:17" ht="15.75" x14ac:dyDescent="0.25">
      <c r="B4" s="981" t="s">
        <v>61</v>
      </c>
      <c r="C4" s="973"/>
      <c r="D4" s="360"/>
      <c r="E4" s="974"/>
      <c r="F4" s="974"/>
      <c r="G4" s="360"/>
      <c r="H4" s="360"/>
      <c r="I4" s="354"/>
      <c r="J4" s="353"/>
      <c r="K4" s="353"/>
      <c r="L4" s="353"/>
      <c r="M4" s="353"/>
      <c r="N4" s="353"/>
      <c r="O4" s="353"/>
      <c r="P4" s="353"/>
      <c r="Q4" s="353"/>
    </row>
    <row r="5" spans="2:17" x14ac:dyDescent="0.25">
      <c r="B5" s="237" t="s">
        <v>242</v>
      </c>
      <c r="C5" s="993">
        <f>'5_Produccion_Desagregada_10_09'!C5</f>
        <v>19963</v>
      </c>
      <c r="D5" s="238">
        <f>'10_Distribucion_RRHH'!F78*'13_Normas_Programacion'!$C$12</f>
        <v>3696</v>
      </c>
      <c r="E5" s="967">
        <f>IF(ISERROR(C5/D5),"",C5/D5)</f>
        <v>5.4012445887445883</v>
      </c>
      <c r="F5" s="357">
        <f>IF(ISNUMBER('13_Normas_Programacion'!D18),60/'13_Normas_Programacion'!D18,"")</f>
        <v>6</v>
      </c>
      <c r="G5" s="238">
        <f>IF(ISERROR(C5/F5),"",C5/F5)</f>
        <v>3327.1666666666665</v>
      </c>
      <c r="H5" s="975">
        <f>IF(ISERROR(E5/F5),"",E5/F5)</f>
        <v>0.90020743145743143</v>
      </c>
      <c r="I5" s="191">
        <f>IF(ISERROR(D5*F5),"",D5*F5)</f>
        <v>22176</v>
      </c>
      <c r="J5" s="353"/>
      <c r="K5" s="353"/>
      <c r="L5" s="353"/>
      <c r="M5" s="353"/>
      <c r="N5" s="353"/>
      <c r="O5" s="353"/>
      <c r="P5" s="353"/>
      <c r="Q5" s="353"/>
    </row>
    <row r="6" spans="2:17" x14ac:dyDescent="0.25">
      <c r="B6" s="237" t="s">
        <v>243</v>
      </c>
      <c r="C6" s="993">
        <f>'5_Produccion_Desagregada_10_09'!C6</f>
        <v>32189</v>
      </c>
      <c r="D6" s="238">
        <f>SUM('10_Distribucion_RRHH'!F77,'10_Distribucion_RRHH'!F79)*'13_Normas_Programacion'!$C$12</f>
        <v>9504</v>
      </c>
      <c r="E6" s="361">
        <f>IF(ISERROR(C6/D6),"",C6/D6)</f>
        <v>3.3868897306397305</v>
      </c>
      <c r="F6" s="357">
        <f>IF(ISNUMBER('13_Normas_Programacion'!D19),60/'13_Normas_Programacion'!D19,"")</f>
        <v>4</v>
      </c>
      <c r="G6" s="238">
        <f>IF(ISERROR(C6/F6),"",C6/F6)</f>
        <v>8047.25</v>
      </c>
      <c r="H6" s="975">
        <f>IF(ISERROR(E6/F6),"",E6/F6)</f>
        <v>0.84672243265993263</v>
      </c>
      <c r="I6" s="191">
        <f>IF(ISERROR(D6*F6),"",D6*F6)</f>
        <v>38016</v>
      </c>
      <c r="J6" s="353"/>
      <c r="K6" s="353"/>
      <c r="L6" s="353"/>
      <c r="M6" s="353"/>
      <c r="N6" s="353"/>
      <c r="O6" s="353"/>
      <c r="P6" s="353"/>
      <c r="Q6" s="353"/>
    </row>
    <row r="7" spans="2:17" x14ac:dyDescent="0.25">
      <c r="B7" s="237" t="s">
        <v>244</v>
      </c>
      <c r="C7" s="976">
        <f>'4_Comportamiento_Produccion'!K5</f>
        <v>20591</v>
      </c>
      <c r="D7" s="238">
        <f>SUM('10_Distribucion_RRHH'!G77,'10_Distribucion_RRHH'!G78,'10_Distribucion_RRHH'!G79)*'13_Normas_Programacion'!C12</f>
        <v>8976</v>
      </c>
      <c r="E7" s="361">
        <f>IF(ISERROR(C7/D7),"",C7/D7)</f>
        <v>2.29400623885918</v>
      </c>
      <c r="F7" s="357">
        <f>IF(ISNUMBER('13_Normas_Programacion'!D22),60/'13_Normas_Programacion'!D22,"")</f>
        <v>4</v>
      </c>
      <c r="G7" s="238">
        <f>IF(ISERROR(C7/F7),"",C7/F7)</f>
        <v>5147.75</v>
      </c>
      <c r="H7" s="975">
        <f>IF(ISERROR(E7/F7),"",E7/F7)</f>
        <v>0.573501559714795</v>
      </c>
      <c r="I7" s="191">
        <f>IF(ISERROR(D7*F7),"",D7*F7)</f>
        <v>35904</v>
      </c>
      <c r="J7" s="353"/>
      <c r="K7" s="353"/>
      <c r="L7" s="353"/>
      <c r="M7" s="353"/>
      <c r="N7" s="353"/>
      <c r="O7" s="353"/>
      <c r="P7" s="353"/>
      <c r="Q7" s="353"/>
    </row>
    <row r="8" spans="2:17" ht="15.75" x14ac:dyDescent="0.25">
      <c r="B8" s="981" t="s">
        <v>233</v>
      </c>
      <c r="C8" s="977"/>
      <c r="D8" s="360"/>
      <c r="E8" s="974"/>
      <c r="F8" s="974"/>
      <c r="G8" s="360"/>
      <c r="H8" s="360"/>
      <c r="I8" s="991"/>
      <c r="J8" s="353"/>
      <c r="K8" s="353"/>
      <c r="L8" s="353"/>
      <c r="M8" s="353"/>
      <c r="N8" s="353"/>
      <c r="O8" s="353"/>
      <c r="P8" s="353"/>
      <c r="Q8" s="353"/>
    </row>
    <row r="9" spans="2:17" x14ac:dyDescent="0.25">
      <c r="B9" s="237" t="s">
        <v>234</v>
      </c>
      <c r="C9" s="964">
        <f>'4_Comportamiento_Produccion'!K8</f>
        <v>874</v>
      </c>
      <c r="D9" s="978"/>
      <c r="E9" s="979"/>
      <c r="F9" s="988"/>
      <c r="G9" s="978"/>
      <c r="H9" s="989"/>
      <c r="I9" s="991"/>
      <c r="J9" s="353"/>
      <c r="K9" s="353"/>
      <c r="L9" s="353"/>
      <c r="M9" s="353"/>
      <c r="N9" s="353"/>
      <c r="O9" s="353"/>
      <c r="P9" s="353"/>
      <c r="Q9" s="353"/>
    </row>
    <row r="10" spans="2:17" x14ac:dyDescent="0.25">
      <c r="B10" s="237" t="s">
        <v>235</v>
      </c>
      <c r="C10" s="964">
        <f>'4_Comportamiento_Produccion'!K9</f>
        <v>223</v>
      </c>
      <c r="D10" s="978"/>
      <c r="E10" s="979"/>
      <c r="F10" s="988"/>
      <c r="G10" s="978"/>
      <c r="H10" s="989"/>
      <c r="I10" s="991"/>
      <c r="J10" s="353"/>
      <c r="K10" s="353"/>
      <c r="L10" s="353"/>
      <c r="M10" s="353"/>
      <c r="N10" s="353"/>
      <c r="O10" s="353"/>
      <c r="P10" s="353"/>
      <c r="Q10" s="353"/>
    </row>
    <row r="11" spans="2:17" x14ac:dyDescent="0.25">
      <c r="B11" s="986" t="s">
        <v>236</v>
      </c>
      <c r="C11" s="176">
        <f>SUM(C9:C10)</f>
        <v>1097</v>
      </c>
      <c r="D11" s="238">
        <f>SUM('10_Distribucion_RRHH'!I43+'10_Distribucion_RRHH'!I45+'10_Distribucion_RRHH'!J43+'10_Distribucion_RRHH'!J45)*'13_Normas_Programacion'!C12</f>
        <v>6072</v>
      </c>
      <c r="E11" s="361">
        <f>IF(ISERROR(((C9*'13_Normas_Programacion'!C42)+C10)/D11),"",((C9*'13_Normas_Programacion'!C42)+C10)/D11)</f>
        <v>0.18066534914361002</v>
      </c>
      <c r="F11" s="987"/>
      <c r="G11" s="238" t="str">
        <f>IF(ISERROR(C11/F11),"",C11/F11)</f>
        <v/>
      </c>
      <c r="H11" s="975" t="str">
        <f>IF(ISERROR(E11/F11),"",E11/F11)</f>
        <v/>
      </c>
      <c r="I11" s="991"/>
      <c r="J11" s="353"/>
      <c r="K11" s="353"/>
      <c r="L11" s="353"/>
      <c r="M11" s="353"/>
      <c r="N11" s="353"/>
      <c r="O11" s="353"/>
      <c r="P11" s="353"/>
      <c r="Q11" s="353"/>
    </row>
    <row r="12" spans="2:17" ht="15.75" x14ac:dyDescent="0.25">
      <c r="B12" s="981" t="s">
        <v>237</v>
      </c>
      <c r="C12" s="977"/>
      <c r="D12" s="360"/>
      <c r="E12" s="974"/>
      <c r="F12" s="974"/>
      <c r="G12" s="360"/>
      <c r="H12" s="360"/>
      <c r="I12" s="991"/>
      <c r="J12" s="353"/>
      <c r="K12" s="353"/>
      <c r="L12" s="353"/>
      <c r="M12" s="353"/>
      <c r="N12" s="353"/>
      <c r="O12" s="353"/>
      <c r="P12" s="353"/>
      <c r="Q12" s="353"/>
    </row>
    <row r="13" spans="2:17" x14ac:dyDescent="0.25">
      <c r="B13" s="237" t="s">
        <v>53</v>
      </c>
      <c r="C13" s="994">
        <f>'5_Produccion_Desagregada_10_09'!C24</f>
        <v>815</v>
      </c>
      <c r="D13" s="978"/>
      <c r="E13" s="979"/>
      <c r="F13" s="988"/>
      <c r="G13" s="978"/>
      <c r="H13" s="989"/>
      <c r="I13" s="991"/>
      <c r="J13" s="353"/>
      <c r="K13" s="353"/>
      <c r="L13" s="353"/>
      <c r="M13" s="353"/>
      <c r="N13" s="353"/>
      <c r="O13" s="353"/>
      <c r="P13" s="353"/>
      <c r="Q13" s="353"/>
    </row>
    <row r="14" spans="2:17" x14ac:dyDescent="0.25">
      <c r="B14" s="237" t="s">
        <v>54</v>
      </c>
      <c r="C14" s="994">
        <f>'5_Produccion_Desagregada_10_09'!C25</f>
        <v>51</v>
      </c>
      <c r="D14" s="978"/>
      <c r="E14" s="979"/>
      <c r="F14" s="988"/>
      <c r="G14" s="978"/>
      <c r="H14" s="989"/>
      <c r="I14" s="991"/>
      <c r="J14" s="353"/>
      <c r="K14" s="353"/>
      <c r="L14" s="353"/>
      <c r="M14" s="353"/>
      <c r="N14" s="353"/>
      <c r="O14" s="353"/>
      <c r="P14" s="353"/>
      <c r="Q14" s="353"/>
    </row>
    <row r="15" spans="2:17" x14ac:dyDescent="0.25">
      <c r="B15" s="237" t="s">
        <v>55</v>
      </c>
      <c r="C15" s="994">
        <f>'5_Produccion_Desagregada_10_09'!C26</f>
        <v>288</v>
      </c>
      <c r="D15" s="978"/>
      <c r="E15" s="979"/>
      <c r="F15" s="988"/>
      <c r="G15" s="978"/>
      <c r="H15" s="989"/>
      <c r="I15" s="991"/>
      <c r="J15" s="353"/>
      <c r="K15" s="353"/>
      <c r="L15" s="353"/>
      <c r="M15" s="353"/>
      <c r="N15" s="353"/>
      <c r="O15" s="353"/>
      <c r="P15" s="353"/>
      <c r="Q15" s="353"/>
    </row>
    <row r="16" spans="2:17" x14ac:dyDescent="0.25">
      <c r="B16" s="237" t="s">
        <v>56</v>
      </c>
      <c r="C16" s="994">
        <f>'5_Produccion_Desagregada_10_09'!C27</f>
        <v>125</v>
      </c>
      <c r="D16" s="978"/>
      <c r="E16" s="979"/>
      <c r="F16" s="988"/>
      <c r="G16" s="978"/>
      <c r="H16" s="989"/>
      <c r="I16" s="991"/>
      <c r="J16" s="353"/>
      <c r="K16" s="353"/>
      <c r="L16" s="353"/>
      <c r="M16" s="353"/>
      <c r="N16" s="353"/>
      <c r="O16" s="353"/>
      <c r="P16" s="353"/>
      <c r="Q16" s="353"/>
    </row>
    <row r="17" spans="2:17" x14ac:dyDescent="0.25">
      <c r="B17" s="986" t="s">
        <v>57</v>
      </c>
      <c r="C17" s="176">
        <f>SUM(C13:C16)</f>
        <v>1279</v>
      </c>
      <c r="D17" s="238">
        <f>SUM('10_Distribucion_RRHH'!J29+'10_Distribucion_RRHH'!J31+'10_Distribucion_RRHH'!J36+'10_Distribucion_RRHH'!J38)*'13_Normas_Programacion'!C12</f>
        <v>3696</v>
      </c>
      <c r="E17" s="967">
        <f>IF(ISERROR(C17/D17),"",C17/D17)</f>
        <v>0.34604978354978355</v>
      </c>
      <c r="F17" s="987">
        <f>IF(ISERROR(AVERAGE('13_Normas_Programacion'!D46:D47)),"",60/AVERAGE('13_Normas_Programacion'!D46:D47))</f>
        <v>0.5</v>
      </c>
      <c r="G17" s="238">
        <f>IF(ISERROR(C17/F17),"",C17/F17)</f>
        <v>2558</v>
      </c>
      <c r="H17" s="975">
        <f>IF(ISERROR(E17/F17),"",E17/F17)</f>
        <v>0.6920995670995671</v>
      </c>
      <c r="I17" s="991"/>
      <c r="J17" s="353"/>
      <c r="K17" s="353"/>
      <c r="L17" s="353"/>
      <c r="M17" s="353"/>
      <c r="N17" s="353"/>
      <c r="O17" s="353"/>
      <c r="P17" s="353"/>
      <c r="Q17" s="353"/>
    </row>
    <row r="18" spans="2:17" ht="15.75" x14ac:dyDescent="0.25">
      <c r="B18" s="981" t="s">
        <v>58</v>
      </c>
      <c r="C18" s="977"/>
      <c r="D18" s="360"/>
      <c r="E18" s="980"/>
      <c r="F18" s="974"/>
      <c r="G18" s="360"/>
      <c r="H18" s="360"/>
      <c r="I18" s="991"/>
      <c r="J18" s="353"/>
      <c r="K18" s="353"/>
      <c r="L18" s="353"/>
      <c r="M18" s="353"/>
      <c r="N18" s="353"/>
      <c r="O18" s="353"/>
      <c r="P18" s="353"/>
      <c r="Q18" s="353"/>
    </row>
    <row r="19" spans="2:17" ht="15.75" thickBot="1" x14ac:dyDescent="0.3">
      <c r="B19" s="968" t="s">
        <v>404</v>
      </c>
      <c r="C19" s="982">
        <f>'4_Comportamiento_Produccion'!K13</f>
        <v>2043</v>
      </c>
      <c r="D19" s="969">
        <f>SUM('10_Distribucion_RRHH'!K77,'10_Distribucion_RRHH'!K79)*'13_Normas_Programacion'!C12</f>
        <v>264</v>
      </c>
      <c r="E19" s="983">
        <f>IF(ISERROR((C19*'13_Normas_Programacion'!C49)/D19),"",(C19*'13_Normas_Programacion'!C49)/D19)</f>
        <v>7.7386363636363633</v>
      </c>
      <c r="F19" s="984">
        <f>IF(ISNUMBER('13_Normas_Programacion'!D48),60/'13_Normas_Programacion'!D48,"")</f>
        <v>2</v>
      </c>
      <c r="G19" s="969">
        <f>IF(ISERROR(C19/F19),"",C19/F19)</f>
        <v>1021.5</v>
      </c>
      <c r="H19" s="985">
        <f>IF(ISERROR(E19/F19),"",E19/F19)</f>
        <v>3.8693181818181817</v>
      </c>
      <c r="I19" s="992">
        <f>IF(ISERROR(D19*F19),"",D19*F19)</f>
        <v>528</v>
      </c>
      <c r="J19" s="353"/>
      <c r="K19" s="353"/>
      <c r="L19" s="353"/>
      <c r="M19" s="353"/>
      <c r="N19" s="353"/>
      <c r="O19" s="353"/>
      <c r="P19" s="353"/>
      <c r="Q19" s="353"/>
    </row>
    <row r="22" spans="2:17" x14ac:dyDescent="0.25">
      <c r="E22" s="400"/>
    </row>
  </sheetData>
  <sheetProtection password="EADF" sheet="1" objects="1" scenarios="1"/>
  <protectedRanges>
    <protectedRange sqref="C5:C6" name="Rango1"/>
  </protectedRanges>
  <mergeCells count="1">
    <mergeCell ref="B1:G1"/>
  </mergeCells>
  <phoneticPr fontId="60" type="noConversion"/>
  <pageMargins left="0.70866141732283472" right="0.70866141732283472" top="0.74803149606299213" bottom="0.74803149606299213" header="0.31496062992125984" footer="0.31496062992125984"/>
  <pageSetup scale="84" orientation="landscape" horizontalDpi="4294967293" r:id="rId1"/>
  <ignoredErrors>
    <ignoredError sqref="F17" formulaRange="1"/>
  </ignoredErrors>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99"/>
  <sheetViews>
    <sheetView view="pageBreakPreview" zoomScale="86" zoomScaleNormal="100" zoomScaleSheetLayoutView="86" workbookViewId="0">
      <selection activeCell="C34" sqref="C34"/>
    </sheetView>
  </sheetViews>
  <sheetFormatPr baseColWidth="10" defaultRowHeight="15" x14ac:dyDescent="0.25"/>
  <cols>
    <col min="1" max="1" width="2.28515625" style="724" customWidth="1"/>
    <col min="2" max="2" width="19" style="724" customWidth="1"/>
    <col min="3" max="3" width="46.85546875" style="724" customWidth="1"/>
    <col min="4" max="4" width="11.42578125" style="724"/>
    <col min="5" max="6" width="13.7109375" style="724" customWidth="1"/>
    <col min="7" max="7" width="9.7109375" style="724" customWidth="1"/>
    <col min="8" max="16384" width="11.42578125" style="724"/>
  </cols>
  <sheetData>
    <row r="1" spans="2:8" s="723" customFormat="1" ht="15.75" thickBot="1" x14ac:dyDescent="0.3">
      <c r="B1" s="1202" t="s">
        <v>262</v>
      </c>
      <c r="C1" s="1202"/>
      <c r="D1" s="1202"/>
      <c r="E1" s="1202"/>
      <c r="F1" s="1202"/>
      <c r="G1" s="722" t="s">
        <v>654</v>
      </c>
      <c r="H1" s="718">
        <v>12</v>
      </c>
    </row>
    <row r="2" spans="2:8" s="723" customFormat="1" ht="15.75" thickBot="1" x14ac:dyDescent="0.3"/>
    <row r="3" spans="2:8" ht="38.25" x14ac:dyDescent="0.25">
      <c r="B3" s="239" t="s">
        <v>148</v>
      </c>
      <c r="C3" s="356" t="s">
        <v>189</v>
      </c>
      <c r="D3" s="356" t="s">
        <v>112</v>
      </c>
      <c r="E3" s="720" t="s">
        <v>259</v>
      </c>
      <c r="F3" s="720" t="s">
        <v>667</v>
      </c>
      <c r="G3" s="720" t="s">
        <v>260</v>
      </c>
      <c r="H3" s="721" t="s">
        <v>261</v>
      </c>
    </row>
    <row r="4" spans="2:8" x14ac:dyDescent="0.25">
      <c r="B4" s="726" t="s">
        <v>41</v>
      </c>
      <c r="C4" s="727" t="s">
        <v>246</v>
      </c>
      <c r="D4" s="728">
        <f>'8_Inform_Camas_Quirof_Consul'!E7</f>
        <v>10</v>
      </c>
      <c r="E4" s="729"/>
      <c r="F4" s="729"/>
      <c r="G4" s="728"/>
      <c r="H4" s="730"/>
    </row>
    <row r="5" spans="2:8" x14ac:dyDescent="0.25">
      <c r="B5" s="731" t="str">
        <f>B4</f>
        <v>Medicina</v>
      </c>
      <c r="C5" s="727" t="s">
        <v>247</v>
      </c>
      <c r="D5" s="725">
        <v>1037</v>
      </c>
      <c r="E5" s="728">
        <f>'13_Normas_Programacion'!D24</f>
        <v>60</v>
      </c>
      <c r="F5" s="732">
        <f>D5*E5/60</f>
        <v>1037</v>
      </c>
      <c r="G5" s="728"/>
      <c r="H5" s="730"/>
    </row>
    <row r="6" spans="2:8" x14ac:dyDescent="0.25">
      <c r="B6" s="731" t="str">
        <f>B4</f>
        <v>Medicina</v>
      </c>
      <c r="C6" s="727" t="s">
        <v>248</v>
      </c>
      <c r="D6" s="764">
        <f>'5_Produccion_Desagregada_10_09'!C10</f>
        <v>1341</v>
      </c>
      <c r="E6" s="734"/>
      <c r="F6" s="729"/>
      <c r="G6" s="735">
        <f>IF(ISERROR(D4*G11),"",D4*G11)</f>
        <v>1142.3561643835617</v>
      </c>
      <c r="H6" s="736">
        <f>IF(ISERROR(D6/G6-1),"",D6/G6-1)</f>
        <v>0.17388958173445879</v>
      </c>
    </row>
    <row r="7" spans="2:8" x14ac:dyDescent="0.25">
      <c r="B7" s="731" t="str">
        <f>B4</f>
        <v>Medicina</v>
      </c>
      <c r="C7" s="727" t="s">
        <v>249</v>
      </c>
      <c r="D7" s="737">
        <f>IF(ISERROR(D5/D6),"",(D5/D6))</f>
        <v>0.77330350484712895</v>
      </c>
      <c r="E7" s="734"/>
      <c r="F7" s="729"/>
      <c r="G7" s="732"/>
      <c r="H7" s="738"/>
    </row>
    <row r="8" spans="2:8" x14ac:dyDescent="0.25">
      <c r="B8" s="731" t="str">
        <f>B4</f>
        <v>Medicina</v>
      </c>
      <c r="C8" s="727" t="s">
        <v>250</v>
      </c>
      <c r="D8" s="739">
        <f>IF(ISERROR(D12/D13),"",(D12/D13))</f>
        <v>1.4279452054794521</v>
      </c>
      <c r="E8" s="729"/>
      <c r="F8" s="729"/>
      <c r="G8" s="740">
        <f>D8</f>
        <v>1.4279452054794521</v>
      </c>
      <c r="H8" s="738">
        <f>IF(ISERROR(D8/G8-1),"",D8/G8-1)</f>
        <v>0</v>
      </c>
    </row>
    <row r="9" spans="2:8" x14ac:dyDescent="0.25">
      <c r="B9" s="731" t="str">
        <f>B4</f>
        <v>Medicina</v>
      </c>
      <c r="C9" s="727" t="s">
        <v>251</v>
      </c>
      <c r="D9" s="737">
        <f>IF(ISERROR(D14/D6),"",ROUND(D14/D6,1))</f>
        <v>4.5</v>
      </c>
      <c r="E9" s="729"/>
      <c r="F9" s="729"/>
      <c r="G9" s="737">
        <f>D9</f>
        <v>4.5</v>
      </c>
      <c r="H9" s="738">
        <f>IF(ISERROR(D9/G9-1),"",D9/G9-1)</f>
        <v>0</v>
      </c>
    </row>
    <row r="10" spans="2:8" x14ac:dyDescent="0.25">
      <c r="B10" s="731" t="str">
        <f>B4</f>
        <v>Medicina</v>
      </c>
      <c r="C10" s="727" t="s">
        <v>252</v>
      </c>
      <c r="D10" s="737">
        <f>IF(ISERROR((D13-D12)/D6),"",IF(D13-D12&lt;0,0,(D13-D12)/D6))</f>
        <v>0</v>
      </c>
      <c r="E10" s="729"/>
      <c r="F10" s="729"/>
      <c r="G10" s="737">
        <f>D10</f>
        <v>0</v>
      </c>
      <c r="H10" s="738" t="str">
        <f>IF(ISERROR(D10/G10-1),"",D10/G10-1)</f>
        <v/>
      </c>
    </row>
    <row r="11" spans="2:8" x14ac:dyDescent="0.25">
      <c r="B11" s="731" t="str">
        <f>B4</f>
        <v>Medicina</v>
      </c>
      <c r="C11" s="727" t="s">
        <v>665</v>
      </c>
      <c r="D11" s="728">
        <f>IF(ISERROR(D6/D4),"",ROUND(D6/D4,1))</f>
        <v>134.1</v>
      </c>
      <c r="E11" s="729"/>
      <c r="F11" s="729"/>
      <c r="G11" s="741">
        <f>IF(ISERROR((30/G9)*G8),"",(30/G9)*G8*$H$1)</f>
        <v>114.23561643835617</v>
      </c>
      <c r="H11" s="738">
        <f>IF(ISERROR(D11/G11-1),"",D11/G11-1)</f>
        <v>0.17388958173445879</v>
      </c>
    </row>
    <row r="12" spans="2:8" x14ac:dyDescent="0.25">
      <c r="B12" s="731" t="str">
        <f>B4</f>
        <v>Medicina</v>
      </c>
      <c r="C12" s="727" t="s">
        <v>655</v>
      </c>
      <c r="D12" s="725">
        <v>5212</v>
      </c>
      <c r="E12" s="729"/>
      <c r="F12" s="729"/>
      <c r="G12" s="728"/>
      <c r="H12" s="730"/>
    </row>
    <row r="13" spans="2:8" x14ac:dyDescent="0.25">
      <c r="B13" s="731" t="str">
        <f>B4</f>
        <v>Medicina</v>
      </c>
      <c r="C13" s="727" t="s">
        <v>255</v>
      </c>
      <c r="D13" s="732">
        <f>'8_Inform_Camas_Quirof_Consul'!H7</f>
        <v>3650</v>
      </c>
      <c r="E13" s="729"/>
      <c r="F13" s="729"/>
      <c r="G13" s="728"/>
      <c r="H13" s="730"/>
    </row>
    <row r="14" spans="2:8" s="723" customFormat="1" x14ac:dyDescent="0.25">
      <c r="B14" s="731" t="str">
        <f>B4</f>
        <v>Medicina</v>
      </c>
      <c r="C14" s="727" t="s">
        <v>256</v>
      </c>
      <c r="D14" s="742">
        <v>6004</v>
      </c>
      <c r="E14" s="729"/>
      <c r="F14" s="729"/>
      <c r="G14" s="728"/>
      <c r="H14" s="730"/>
    </row>
    <row r="15" spans="2:8" ht="25.5" x14ac:dyDescent="0.25">
      <c r="B15" s="731" t="str">
        <f>B4</f>
        <v>Medicina</v>
      </c>
      <c r="C15" s="727" t="s">
        <v>666</v>
      </c>
      <c r="D15" s="160">
        <f>D12-D5</f>
        <v>4175</v>
      </c>
      <c r="E15" s="728">
        <f>'13_Normas_Programacion'!D25</f>
        <v>15</v>
      </c>
      <c r="F15" s="160">
        <f>D15*E15/60</f>
        <v>1043.75</v>
      </c>
      <c r="G15" s="728"/>
      <c r="H15" s="730"/>
    </row>
    <row r="16" spans="2:8" x14ac:dyDescent="0.25">
      <c r="B16" s="726" t="s">
        <v>42</v>
      </c>
      <c r="C16" s="727" t="s">
        <v>246</v>
      </c>
      <c r="D16" s="728">
        <f>'8_Inform_Camas_Quirof_Consul'!E8</f>
        <v>10</v>
      </c>
      <c r="E16" s="729"/>
      <c r="F16" s="729"/>
      <c r="G16" s="728"/>
      <c r="H16" s="730"/>
    </row>
    <row r="17" spans="2:8" x14ac:dyDescent="0.25">
      <c r="B17" s="731" t="str">
        <f>B16</f>
        <v>Cirugía</v>
      </c>
      <c r="C17" s="727" t="s">
        <v>247</v>
      </c>
      <c r="D17" s="725">
        <v>1030</v>
      </c>
      <c r="E17" s="728">
        <f>'13_Normas_Programacion'!D26</f>
        <v>60</v>
      </c>
      <c r="F17" s="732">
        <f>D17*E17/60</f>
        <v>1030</v>
      </c>
      <c r="G17" s="728"/>
      <c r="H17" s="730"/>
    </row>
    <row r="18" spans="2:8" x14ac:dyDescent="0.25">
      <c r="B18" s="731" t="str">
        <f>B16</f>
        <v>Cirugía</v>
      </c>
      <c r="C18" s="727" t="s">
        <v>248</v>
      </c>
      <c r="D18" s="764">
        <f>'5_Produccion_Desagregada_10_09'!C11</f>
        <v>1026</v>
      </c>
      <c r="E18" s="729"/>
      <c r="F18" s="729"/>
      <c r="G18" s="735">
        <f>IF(ISERROR(D16*G23),"",D16*G23)</f>
        <v>954.18923223956665</v>
      </c>
      <c r="H18" s="736">
        <f>IF(ISERROR(D18/G18-1),"",D18/G18-1)</f>
        <v>7.5258413461538609E-2</v>
      </c>
    </row>
    <row r="19" spans="2:8" x14ac:dyDescent="0.25">
      <c r="B19" s="731" t="str">
        <f>B16</f>
        <v>Cirugía</v>
      </c>
      <c r="C19" s="727" t="s">
        <v>249</v>
      </c>
      <c r="D19" s="737">
        <f>IF(ISERROR(D17/D18),"",(D17/D18))</f>
        <v>1.003898635477583</v>
      </c>
      <c r="E19" s="729"/>
      <c r="F19" s="729"/>
      <c r="G19" s="732"/>
      <c r="H19" s="738"/>
    </row>
    <row r="20" spans="2:8" x14ac:dyDescent="0.25">
      <c r="B20" s="731" t="str">
        <f>B16</f>
        <v>Cirugía</v>
      </c>
      <c r="C20" s="727" t="s">
        <v>250</v>
      </c>
      <c r="D20" s="739">
        <f>IF(ISERROR(D24/D25),"",(D24/D25))</f>
        <v>1.1397260273972603</v>
      </c>
      <c r="E20" s="729"/>
      <c r="F20" s="729"/>
      <c r="G20" s="740">
        <f>D20</f>
        <v>1.1397260273972603</v>
      </c>
      <c r="H20" s="738">
        <f>IF(ISERROR(D20/G20-1),"",D20/G20-1)</f>
        <v>0</v>
      </c>
    </row>
    <row r="21" spans="2:8" x14ac:dyDescent="0.25">
      <c r="B21" s="731" t="str">
        <f>B16</f>
        <v>Cirugía</v>
      </c>
      <c r="C21" s="727" t="s">
        <v>251</v>
      </c>
      <c r="D21" s="741">
        <f>IF(ISERROR(D26/D18),"",ROUND(D26/D18,1))</f>
        <v>4.3</v>
      </c>
      <c r="E21" s="729"/>
      <c r="F21" s="729"/>
      <c r="G21" s="737">
        <f>D21</f>
        <v>4.3</v>
      </c>
      <c r="H21" s="738">
        <f>IF(ISERROR(D21/G21-1),"",D21/G21-1)</f>
        <v>0</v>
      </c>
    </row>
    <row r="22" spans="2:8" x14ac:dyDescent="0.25">
      <c r="B22" s="731" t="str">
        <f>B16</f>
        <v>Cirugía</v>
      </c>
      <c r="C22" s="727" t="s">
        <v>252</v>
      </c>
      <c r="D22" s="741">
        <f>IF(ISERROR((D25-D24)/D18),"",IF(D25-D24&lt;0,0,(D25-D24)/D18))</f>
        <v>0</v>
      </c>
      <c r="E22" s="729"/>
      <c r="F22" s="729"/>
      <c r="G22" s="737">
        <f>D22</f>
        <v>0</v>
      </c>
      <c r="H22" s="738" t="str">
        <f>IF(ISERROR(D22/G22-1),"",D22/G22-1)</f>
        <v/>
      </c>
    </row>
    <row r="23" spans="2:8" x14ac:dyDescent="0.25">
      <c r="B23" s="731" t="str">
        <f>B16</f>
        <v>Cirugía</v>
      </c>
      <c r="C23" s="727" t="s">
        <v>253</v>
      </c>
      <c r="D23" s="728">
        <f>IF(ISERROR(D18/D16),"",ROUND(D18/D16,1))</f>
        <v>102.6</v>
      </c>
      <c r="E23" s="729"/>
      <c r="F23" s="729"/>
      <c r="G23" s="741">
        <f>IF(ISERROR((30/G21)*G20),"",(30/G21)*G20*$H$1)</f>
        <v>95.418923223956668</v>
      </c>
      <c r="H23" s="738">
        <f>IF(ISERROR(D23/G23-1),"",D23/G23-1)</f>
        <v>7.5258413461538387E-2</v>
      </c>
    </row>
    <row r="24" spans="2:8" x14ac:dyDescent="0.25">
      <c r="B24" s="731" t="str">
        <f>B16</f>
        <v>Cirugía</v>
      </c>
      <c r="C24" s="727" t="s">
        <v>254</v>
      </c>
      <c r="D24" s="725">
        <v>4160</v>
      </c>
      <c r="E24" s="729"/>
      <c r="F24" s="729"/>
      <c r="G24" s="728"/>
      <c r="H24" s="730"/>
    </row>
    <row r="25" spans="2:8" x14ac:dyDescent="0.25">
      <c r="B25" s="731" t="str">
        <f>B16</f>
        <v>Cirugía</v>
      </c>
      <c r="C25" s="727" t="s">
        <v>255</v>
      </c>
      <c r="D25" s="732">
        <f>'8_Inform_Camas_Quirof_Consul'!H8</f>
        <v>3650</v>
      </c>
      <c r="E25" s="729"/>
      <c r="F25" s="729"/>
      <c r="G25" s="728"/>
      <c r="H25" s="730"/>
    </row>
    <row r="26" spans="2:8" s="723" customFormat="1" x14ac:dyDescent="0.25">
      <c r="B26" s="731" t="str">
        <f>B16</f>
        <v>Cirugía</v>
      </c>
      <c r="C26" s="727" t="s">
        <v>256</v>
      </c>
      <c r="D26" s="742">
        <v>4412</v>
      </c>
      <c r="E26" s="729"/>
      <c r="F26" s="729"/>
      <c r="G26" s="728"/>
      <c r="H26" s="730"/>
    </row>
    <row r="27" spans="2:8" x14ac:dyDescent="0.25">
      <c r="B27" s="731" t="str">
        <f>B16</f>
        <v>Cirugía</v>
      </c>
      <c r="C27" s="727" t="s">
        <v>257</v>
      </c>
      <c r="D27" s="160">
        <f>D24-D17</f>
        <v>3130</v>
      </c>
      <c r="E27" s="728">
        <f>'13_Normas_Programacion'!D27</f>
        <v>15</v>
      </c>
      <c r="F27" s="160">
        <f>D27*E27/60</f>
        <v>782.5</v>
      </c>
      <c r="G27" s="728"/>
      <c r="H27" s="730"/>
    </row>
    <row r="28" spans="2:8" x14ac:dyDescent="0.25">
      <c r="B28" s="726" t="s">
        <v>43</v>
      </c>
      <c r="C28" s="727" t="s">
        <v>246</v>
      </c>
      <c r="D28" s="728">
        <f>'8_Inform_Camas_Quirof_Consul'!E9</f>
        <v>4</v>
      </c>
      <c r="E28" s="729"/>
      <c r="F28" s="729"/>
      <c r="G28" s="728"/>
      <c r="H28" s="730"/>
    </row>
    <row r="29" spans="2:8" x14ac:dyDescent="0.25">
      <c r="B29" s="731" t="str">
        <f>B28</f>
        <v>Ginecología</v>
      </c>
      <c r="C29" s="727" t="s">
        <v>247</v>
      </c>
      <c r="D29" s="725">
        <v>423</v>
      </c>
      <c r="E29" s="728">
        <f>'13_Normas_Programacion'!D28</f>
        <v>60</v>
      </c>
      <c r="F29" s="732">
        <f>D29*E29/60</f>
        <v>423</v>
      </c>
      <c r="G29" s="728"/>
      <c r="H29" s="730"/>
    </row>
    <row r="30" spans="2:8" x14ac:dyDescent="0.25">
      <c r="B30" s="731" t="str">
        <f>B28</f>
        <v>Ginecología</v>
      </c>
      <c r="C30" s="727" t="s">
        <v>248</v>
      </c>
      <c r="D30" s="764">
        <f>'5_Produccion_Desagregada_10_09'!C12</f>
        <v>423</v>
      </c>
      <c r="E30" s="729"/>
      <c r="F30" s="729"/>
      <c r="G30" s="735">
        <f>IF(ISERROR(D28*G35),"",D28*G35)</f>
        <v>417.32876712328766</v>
      </c>
      <c r="H30" s="736">
        <f>IF(ISERROR(D30/G30-1),"",D30/G30-1)</f>
        <v>1.3589364844903917E-2</v>
      </c>
    </row>
    <row r="31" spans="2:8" x14ac:dyDescent="0.25">
      <c r="B31" s="731" t="str">
        <f>B28</f>
        <v>Ginecología</v>
      </c>
      <c r="C31" s="727" t="s">
        <v>249</v>
      </c>
      <c r="D31" s="737">
        <f>IF(ISERROR(D29/D30),"",(D29/D30))</f>
        <v>1</v>
      </c>
      <c r="E31" s="729"/>
      <c r="F31" s="729"/>
      <c r="G31" s="732"/>
      <c r="H31" s="738"/>
    </row>
    <row r="32" spans="2:8" x14ac:dyDescent="0.25">
      <c r="B32" s="731" t="str">
        <f>B28</f>
        <v>Ginecología</v>
      </c>
      <c r="C32" s="727" t="s">
        <v>250</v>
      </c>
      <c r="D32" s="739">
        <f>IF(ISERROR(D36/D37),"",(D36/D37))</f>
        <v>0.92739726027397262</v>
      </c>
      <c r="E32" s="729"/>
      <c r="F32" s="729"/>
      <c r="G32" s="740">
        <f>D32</f>
        <v>0.92739726027397262</v>
      </c>
      <c r="H32" s="738">
        <f>IF(ISERROR(D32/G32-1),"",D32/G32-1)</f>
        <v>0</v>
      </c>
    </row>
    <row r="33" spans="2:8" x14ac:dyDescent="0.25">
      <c r="B33" s="731" t="str">
        <f>B28</f>
        <v>Ginecología</v>
      </c>
      <c r="C33" s="727" t="s">
        <v>251</v>
      </c>
      <c r="D33" s="728">
        <f>IF(ISERROR(D38/D30),"",ROUND(D38/D30,1))</f>
        <v>3.2</v>
      </c>
      <c r="E33" s="729"/>
      <c r="F33" s="729"/>
      <c r="G33" s="737">
        <f>D33</f>
        <v>3.2</v>
      </c>
      <c r="H33" s="738">
        <f>IF(ISERROR(D33/G33-1),"",D33/G33-1)</f>
        <v>0</v>
      </c>
    </row>
    <row r="34" spans="2:8" x14ac:dyDescent="0.25">
      <c r="B34" s="731" t="str">
        <f>B28</f>
        <v>Ginecología</v>
      </c>
      <c r="C34" s="727" t="s">
        <v>252</v>
      </c>
      <c r="D34" s="741">
        <f>IF(ISERROR((D37-D36)/D30),"",IF(D37-D36&lt;0,0,(D37-D36)/D30))</f>
        <v>0.25059101654846333</v>
      </c>
      <c r="E34" s="729"/>
      <c r="F34" s="729"/>
      <c r="G34" s="737">
        <f>D34</f>
        <v>0.25059101654846333</v>
      </c>
      <c r="H34" s="738">
        <f>IF(ISERROR(D34/G34-1),"",D34/G34-1)</f>
        <v>0</v>
      </c>
    </row>
    <row r="35" spans="2:8" x14ac:dyDescent="0.25">
      <c r="B35" s="731" t="str">
        <f>B28</f>
        <v>Ginecología</v>
      </c>
      <c r="C35" s="727" t="s">
        <v>253</v>
      </c>
      <c r="D35" s="728">
        <f>IF(ISERROR(D30/D28),"",ROUND(D30/D28,1))</f>
        <v>105.8</v>
      </c>
      <c r="E35" s="729"/>
      <c r="F35" s="729"/>
      <c r="G35" s="741">
        <f>IF(ISERROR((30/G33)*G32),"",(30/G33)*G32*$H$1)</f>
        <v>104.33219178082192</v>
      </c>
      <c r="H35" s="738">
        <f>IF(ISERROR(D35/G35-1),"",D35/G35-1)</f>
        <v>1.4068603315279926E-2</v>
      </c>
    </row>
    <row r="36" spans="2:8" x14ac:dyDescent="0.25">
      <c r="B36" s="731" t="str">
        <f>B28</f>
        <v>Ginecología</v>
      </c>
      <c r="C36" s="727" t="s">
        <v>254</v>
      </c>
      <c r="D36" s="725">
        <v>1354</v>
      </c>
      <c r="E36" s="729"/>
      <c r="F36" s="729"/>
      <c r="G36" s="728"/>
      <c r="H36" s="730"/>
    </row>
    <row r="37" spans="2:8" x14ac:dyDescent="0.25">
      <c r="B37" s="731" t="str">
        <f>B28</f>
        <v>Ginecología</v>
      </c>
      <c r="C37" s="727" t="s">
        <v>255</v>
      </c>
      <c r="D37" s="732">
        <f>'8_Inform_Camas_Quirof_Consul'!H9</f>
        <v>1460</v>
      </c>
      <c r="E37" s="729"/>
      <c r="F37" s="729"/>
      <c r="G37" s="728"/>
      <c r="H37" s="730"/>
    </row>
    <row r="38" spans="2:8" s="723" customFormat="1" x14ac:dyDescent="0.25">
      <c r="B38" s="731" t="str">
        <f>B28</f>
        <v>Ginecología</v>
      </c>
      <c r="C38" s="727" t="s">
        <v>256</v>
      </c>
      <c r="D38" s="742">
        <v>1354</v>
      </c>
      <c r="E38" s="729"/>
      <c r="F38" s="729"/>
      <c r="G38" s="728"/>
      <c r="H38" s="730"/>
    </row>
    <row r="39" spans="2:8" x14ac:dyDescent="0.25">
      <c r="B39" s="731" t="str">
        <f>B28</f>
        <v>Ginecología</v>
      </c>
      <c r="C39" s="727" t="s">
        <v>257</v>
      </c>
      <c r="D39" s="160">
        <f>D36-D29</f>
        <v>931</v>
      </c>
      <c r="E39" s="728">
        <f>'13_Normas_Programacion'!D29</f>
        <v>15</v>
      </c>
      <c r="F39" s="160">
        <f>D39*E39/60</f>
        <v>232.75</v>
      </c>
      <c r="G39" s="728"/>
      <c r="H39" s="730"/>
    </row>
    <row r="40" spans="2:8" x14ac:dyDescent="0.25">
      <c r="B40" s="726" t="s">
        <v>44</v>
      </c>
      <c r="C40" s="727" t="s">
        <v>246</v>
      </c>
      <c r="D40" s="728">
        <f>'8_Inform_Camas_Quirof_Consul'!E10</f>
        <v>13</v>
      </c>
      <c r="E40" s="729"/>
      <c r="F40" s="729"/>
      <c r="G40" s="728"/>
      <c r="H40" s="730"/>
    </row>
    <row r="41" spans="2:8" x14ac:dyDescent="0.25">
      <c r="B41" s="731" t="str">
        <f>B40</f>
        <v>Obstetricia</v>
      </c>
      <c r="C41" s="727" t="s">
        <v>247</v>
      </c>
      <c r="D41" s="725">
        <v>1456</v>
      </c>
      <c r="E41" s="728">
        <f>'13_Normas_Programacion'!D30</f>
        <v>60</v>
      </c>
      <c r="F41" s="732">
        <f>D41*E41/60</f>
        <v>1456</v>
      </c>
      <c r="G41" s="728"/>
      <c r="H41" s="730"/>
    </row>
    <row r="42" spans="2:8" x14ac:dyDescent="0.25">
      <c r="B42" s="731" t="str">
        <f>B40</f>
        <v>Obstetricia</v>
      </c>
      <c r="C42" s="727" t="s">
        <v>248</v>
      </c>
      <c r="D42" s="764">
        <f>'5_Produccion_Desagregada_10_09'!C13</f>
        <v>1452</v>
      </c>
      <c r="E42" s="729"/>
      <c r="F42" s="729"/>
      <c r="G42" s="735">
        <f>IF(ISERROR(D40*G47),"",D40*G47)</f>
        <v>1346.3013698630136</v>
      </c>
      <c r="H42" s="736">
        <f>IF(ISERROR(D42/G42-1),"",D42/G42-1)</f>
        <v>7.8510378510378453E-2</v>
      </c>
    </row>
    <row r="43" spans="2:8" x14ac:dyDescent="0.25">
      <c r="B43" s="731" t="str">
        <f>B40</f>
        <v>Obstetricia</v>
      </c>
      <c r="C43" s="727" t="s">
        <v>249</v>
      </c>
      <c r="D43" s="737">
        <f>IF(ISERROR(D41/D42),"",(D41/D42))</f>
        <v>1.002754820936639</v>
      </c>
      <c r="E43" s="729"/>
      <c r="F43" s="729"/>
      <c r="G43" s="732"/>
      <c r="H43" s="738"/>
    </row>
    <row r="44" spans="2:8" x14ac:dyDescent="0.25">
      <c r="B44" s="731" t="str">
        <f>B40</f>
        <v>Obstetricia</v>
      </c>
      <c r="C44" s="727" t="s">
        <v>250</v>
      </c>
      <c r="D44" s="739">
        <f>IF(ISERROR(D48/D49),"",(D48/D49))</f>
        <v>0.86301369863013699</v>
      </c>
      <c r="E44" s="729"/>
      <c r="F44" s="729"/>
      <c r="G44" s="740">
        <f>D44</f>
        <v>0.86301369863013699</v>
      </c>
      <c r="H44" s="738">
        <f>IF(ISERROR(D44/G44-1),"",D44/G44-1)</f>
        <v>0</v>
      </c>
    </row>
    <row r="45" spans="2:8" x14ac:dyDescent="0.25">
      <c r="B45" s="731" t="str">
        <f>B40</f>
        <v>Obstetricia</v>
      </c>
      <c r="C45" s="727" t="s">
        <v>251</v>
      </c>
      <c r="D45" s="728">
        <f>IF(ISERROR(D50/D42),"",ROUND(D50/D42,1))</f>
        <v>3</v>
      </c>
      <c r="E45" s="729"/>
      <c r="F45" s="729"/>
      <c r="G45" s="737">
        <f>D45</f>
        <v>3</v>
      </c>
      <c r="H45" s="738">
        <f>IF(ISERROR(D45/G45-1),"",D45/G45-1)</f>
        <v>0</v>
      </c>
    </row>
    <row r="46" spans="2:8" x14ac:dyDescent="0.25">
      <c r="B46" s="731" t="str">
        <f>B40</f>
        <v>Obstetricia</v>
      </c>
      <c r="C46" s="727" t="s">
        <v>252</v>
      </c>
      <c r="D46" s="741">
        <f>IF(ISERROR((D49-D48)/D42),"",IF(D49-D48&lt;0,0,(D49-D48)/D42))</f>
        <v>0.44765840220385678</v>
      </c>
      <c r="E46" s="729"/>
      <c r="F46" s="729"/>
      <c r="G46" s="737">
        <f>D46</f>
        <v>0.44765840220385678</v>
      </c>
      <c r="H46" s="738">
        <f>IF(ISERROR(D46/G46-1),"",D46/G46-1)</f>
        <v>0</v>
      </c>
    </row>
    <row r="47" spans="2:8" x14ac:dyDescent="0.25">
      <c r="B47" s="731" t="str">
        <f>B40</f>
        <v>Obstetricia</v>
      </c>
      <c r="C47" s="727" t="s">
        <v>253</v>
      </c>
      <c r="D47" s="728">
        <f>IF(ISERROR(D42/D40),"",ROUND(D42/D40,1))</f>
        <v>111.7</v>
      </c>
      <c r="E47" s="729"/>
      <c r="F47" s="729"/>
      <c r="G47" s="741">
        <f>IF(ISERROR((30/G45)*G44),"",(30/G45)*G44*$H$1)</f>
        <v>103.56164383561644</v>
      </c>
      <c r="H47" s="738">
        <f>IF(ISERROR(D47/G47-1),"",D47/G47-1)</f>
        <v>7.8584656084656146E-2</v>
      </c>
    </row>
    <row r="48" spans="2:8" x14ac:dyDescent="0.25">
      <c r="B48" s="731" t="str">
        <f>B40</f>
        <v>Obstetricia</v>
      </c>
      <c r="C48" s="727" t="s">
        <v>254</v>
      </c>
      <c r="D48" s="725">
        <v>4095</v>
      </c>
      <c r="E48" s="729"/>
      <c r="F48" s="729"/>
      <c r="G48" s="728"/>
      <c r="H48" s="730"/>
    </row>
    <row r="49" spans="2:8" x14ac:dyDescent="0.25">
      <c r="B49" s="731" t="str">
        <f>B40</f>
        <v>Obstetricia</v>
      </c>
      <c r="C49" s="727" t="s">
        <v>255</v>
      </c>
      <c r="D49" s="732">
        <f>'8_Inform_Camas_Quirof_Consul'!H10</f>
        <v>4745</v>
      </c>
      <c r="E49" s="729"/>
      <c r="F49" s="729"/>
      <c r="G49" s="728"/>
      <c r="H49" s="730"/>
    </row>
    <row r="50" spans="2:8" s="723" customFormat="1" x14ac:dyDescent="0.25">
      <c r="B50" s="731" t="str">
        <f>B40</f>
        <v>Obstetricia</v>
      </c>
      <c r="C50" s="727" t="s">
        <v>256</v>
      </c>
      <c r="D50" s="742">
        <v>4410</v>
      </c>
      <c r="E50" s="729"/>
      <c r="F50" s="729"/>
      <c r="G50" s="728"/>
      <c r="H50" s="730"/>
    </row>
    <row r="51" spans="2:8" x14ac:dyDescent="0.25">
      <c r="B51" s="731" t="str">
        <f>B40</f>
        <v>Obstetricia</v>
      </c>
      <c r="C51" s="727" t="s">
        <v>257</v>
      </c>
      <c r="D51" s="160">
        <f>D48-D41</f>
        <v>2639</v>
      </c>
      <c r="E51" s="728">
        <f>'13_Normas_Programacion'!D31</f>
        <v>15</v>
      </c>
      <c r="F51" s="160">
        <f>D51*E51/60</f>
        <v>659.75</v>
      </c>
      <c r="G51" s="728"/>
      <c r="H51" s="730"/>
    </row>
    <row r="52" spans="2:8" x14ac:dyDescent="0.25">
      <c r="B52" s="726" t="s">
        <v>45</v>
      </c>
      <c r="C52" s="727" t="s">
        <v>246</v>
      </c>
      <c r="D52" s="728">
        <f>'8_Inform_Camas_Quirof_Consul'!E11</f>
        <v>10</v>
      </c>
      <c r="E52" s="729"/>
      <c r="F52" s="729"/>
      <c r="G52" s="728"/>
      <c r="H52" s="730"/>
    </row>
    <row r="53" spans="2:8" x14ac:dyDescent="0.25">
      <c r="B53" s="731" t="str">
        <f>B52</f>
        <v>Pediatría</v>
      </c>
      <c r="C53" s="727" t="s">
        <v>247</v>
      </c>
      <c r="D53" s="725">
        <v>1330</v>
      </c>
      <c r="E53" s="728">
        <f>'13_Normas_Programacion'!D32</f>
        <v>60</v>
      </c>
      <c r="F53" s="732">
        <f>D53*E53/60</f>
        <v>1330</v>
      </c>
      <c r="G53" s="728"/>
      <c r="H53" s="730"/>
    </row>
    <row r="54" spans="2:8" x14ac:dyDescent="0.25">
      <c r="B54" s="731" t="str">
        <f>B52</f>
        <v>Pediatría</v>
      </c>
      <c r="C54" s="727" t="s">
        <v>248</v>
      </c>
      <c r="D54" s="764">
        <f>'5_Produccion_Desagregada_10_09'!C14</f>
        <v>1330</v>
      </c>
      <c r="E54" s="729"/>
      <c r="F54" s="729"/>
      <c r="G54" s="735">
        <f>IF(ISERROR(D52*G59),"",D52*G59)</f>
        <v>1256.1025187803803</v>
      </c>
      <c r="H54" s="736">
        <f>IF(ISERROR(D54/G54-1),"",D54/G54-1)</f>
        <v>5.8830772261623032E-2</v>
      </c>
    </row>
    <row r="55" spans="2:8" x14ac:dyDescent="0.25">
      <c r="B55" s="731" t="str">
        <f>B52</f>
        <v>Pediatría</v>
      </c>
      <c r="C55" s="727" t="s">
        <v>249</v>
      </c>
      <c r="D55" s="737">
        <f>IF(ISERROR(D53/D54),"",(D53/D54))</f>
        <v>1</v>
      </c>
      <c r="E55" s="729"/>
      <c r="F55" s="729"/>
      <c r="G55" s="732"/>
      <c r="H55" s="738"/>
    </row>
    <row r="56" spans="2:8" x14ac:dyDescent="0.25">
      <c r="B56" s="731" t="str">
        <f>B52</f>
        <v>Pediatría</v>
      </c>
      <c r="C56" s="727" t="s">
        <v>250</v>
      </c>
      <c r="D56" s="739">
        <f>IF(ISERROR(D60/D61),"",(D60/D61))</f>
        <v>1.0816438356164384</v>
      </c>
      <c r="E56" s="729"/>
      <c r="F56" s="729"/>
      <c r="G56" s="740">
        <f>D56</f>
        <v>1.0816438356164384</v>
      </c>
      <c r="H56" s="738">
        <f>IF(ISERROR(D56/G56-1),"",D56/G56-1)</f>
        <v>0</v>
      </c>
    </row>
    <row r="57" spans="2:8" x14ac:dyDescent="0.25">
      <c r="B57" s="731" t="str">
        <f>B52</f>
        <v>Pediatría</v>
      </c>
      <c r="C57" s="727" t="s">
        <v>251</v>
      </c>
      <c r="D57" s="737">
        <f>IF(ISERROR(D62/D54),"",ROUND(D62/D54,1))</f>
        <v>3.1</v>
      </c>
      <c r="E57" s="729"/>
      <c r="F57" s="729"/>
      <c r="G57" s="737">
        <f>D57</f>
        <v>3.1</v>
      </c>
      <c r="H57" s="738">
        <f>IF(ISERROR(D57/G57-1),"",D57/G57-1)</f>
        <v>0</v>
      </c>
    </row>
    <row r="58" spans="2:8" x14ac:dyDescent="0.25">
      <c r="B58" s="731" t="str">
        <f>B52</f>
        <v>Pediatría</v>
      </c>
      <c r="C58" s="727" t="s">
        <v>252</v>
      </c>
      <c r="D58" s="741">
        <f>IF(ISERROR((D61-D60)/D54),"",IF(D61-D60&lt;0,0,(D61-D60)/D54))</f>
        <v>0</v>
      </c>
      <c r="E58" s="729"/>
      <c r="F58" s="729"/>
      <c r="G58" s="737">
        <f>D58</f>
        <v>0</v>
      </c>
      <c r="H58" s="738" t="str">
        <f>IF(ISERROR(D58/G58-1),"",D58/G58-1)</f>
        <v/>
      </c>
    </row>
    <row r="59" spans="2:8" x14ac:dyDescent="0.25">
      <c r="B59" s="731" t="str">
        <f>B52</f>
        <v>Pediatría</v>
      </c>
      <c r="C59" s="727" t="s">
        <v>253</v>
      </c>
      <c r="D59" s="728">
        <f>IF(ISERROR(D54/D52),"",ROUND(D54/D52,1))</f>
        <v>133</v>
      </c>
      <c r="E59" s="729"/>
      <c r="F59" s="729"/>
      <c r="G59" s="741">
        <f>IF(ISERROR((30/G57)*G56),"",(30/G57)*G56*$H$1)</f>
        <v>125.61025187803801</v>
      </c>
      <c r="H59" s="738">
        <f>IF(ISERROR(D59/G59-1),"",D59/G59-1)</f>
        <v>5.8830772261623254E-2</v>
      </c>
    </row>
    <row r="60" spans="2:8" x14ac:dyDescent="0.25">
      <c r="B60" s="731" t="str">
        <f>B52</f>
        <v>Pediatría</v>
      </c>
      <c r="C60" s="727" t="s">
        <v>254</v>
      </c>
      <c r="D60" s="725">
        <v>3948</v>
      </c>
      <c r="E60" s="729"/>
      <c r="F60" s="729"/>
      <c r="G60" s="728"/>
      <c r="H60" s="730"/>
    </row>
    <row r="61" spans="2:8" x14ac:dyDescent="0.25">
      <c r="B61" s="731" t="str">
        <f>B52</f>
        <v>Pediatría</v>
      </c>
      <c r="C61" s="727" t="s">
        <v>255</v>
      </c>
      <c r="D61" s="732">
        <f>'8_Inform_Camas_Quirof_Consul'!H11</f>
        <v>3650</v>
      </c>
      <c r="E61" s="729"/>
      <c r="F61" s="729"/>
      <c r="G61" s="728"/>
      <c r="H61" s="730"/>
    </row>
    <row r="62" spans="2:8" s="723" customFormat="1" x14ac:dyDescent="0.25">
      <c r="B62" s="731" t="str">
        <f>B52</f>
        <v>Pediatría</v>
      </c>
      <c r="C62" s="727" t="s">
        <v>256</v>
      </c>
      <c r="D62" s="742">
        <v>4147</v>
      </c>
      <c r="E62" s="729"/>
      <c r="F62" s="729"/>
      <c r="G62" s="728"/>
      <c r="H62" s="730"/>
    </row>
    <row r="63" spans="2:8" x14ac:dyDescent="0.25">
      <c r="B63" s="731" t="str">
        <f>B52</f>
        <v>Pediatría</v>
      </c>
      <c r="C63" s="727" t="s">
        <v>257</v>
      </c>
      <c r="D63" s="160">
        <f>D60-D53</f>
        <v>2618</v>
      </c>
      <c r="E63" s="728">
        <f>'13_Normas_Programacion'!D33</f>
        <v>15</v>
      </c>
      <c r="F63" s="160">
        <f>D63*E63/60</f>
        <v>654.5</v>
      </c>
      <c r="G63" s="728"/>
      <c r="H63" s="730"/>
    </row>
    <row r="64" spans="2:8" x14ac:dyDescent="0.25">
      <c r="B64" s="743" t="s">
        <v>46</v>
      </c>
      <c r="C64" s="727" t="s">
        <v>246</v>
      </c>
      <c r="D64" s="728">
        <f>'8_Inform_Camas_Quirof_Consul'!E12</f>
        <v>3</v>
      </c>
      <c r="E64" s="729"/>
      <c r="F64" s="729"/>
      <c r="G64" s="728"/>
      <c r="H64" s="730"/>
    </row>
    <row r="65" spans="2:8" x14ac:dyDescent="0.25">
      <c r="B65" s="731" t="str">
        <f>B64</f>
        <v>Neonatología</v>
      </c>
      <c r="C65" s="727" t="s">
        <v>247</v>
      </c>
      <c r="D65" s="725">
        <v>353</v>
      </c>
      <c r="E65" s="728">
        <f>'13_Normas_Programacion'!D34</f>
        <v>60</v>
      </c>
      <c r="F65" s="732">
        <f>D65*E65/60</f>
        <v>353</v>
      </c>
      <c r="G65" s="728"/>
      <c r="H65" s="730"/>
    </row>
    <row r="66" spans="2:8" x14ac:dyDescent="0.25">
      <c r="B66" s="731" t="str">
        <f>B64</f>
        <v>Neonatología</v>
      </c>
      <c r="C66" s="727" t="s">
        <v>248</v>
      </c>
      <c r="D66" s="764">
        <f>'5_Produccion_Desagregada_10_09'!C15</f>
        <v>353</v>
      </c>
      <c r="E66" s="729"/>
      <c r="F66" s="729"/>
      <c r="G66" s="735">
        <f>IF(ISERROR(D64*G71),"",D64*G71)</f>
        <v>307.67123287671239</v>
      </c>
      <c r="H66" s="736">
        <f>IF(ISERROR(D66/G66-1),"",D66/G66-1)</f>
        <v>0.14732858414959904</v>
      </c>
    </row>
    <row r="67" spans="2:8" x14ac:dyDescent="0.25">
      <c r="B67" s="731" t="str">
        <f>B64</f>
        <v>Neonatología</v>
      </c>
      <c r="C67" s="727" t="s">
        <v>249</v>
      </c>
      <c r="D67" s="737">
        <f>IF(ISERROR(D65/D66),"",(D65/D66))</f>
        <v>1</v>
      </c>
      <c r="E67" s="729"/>
      <c r="F67" s="729"/>
      <c r="G67" s="732"/>
      <c r="H67" s="738"/>
    </row>
    <row r="68" spans="2:8" x14ac:dyDescent="0.25">
      <c r="B68" s="731" t="str">
        <f>B64</f>
        <v>Neonatología</v>
      </c>
      <c r="C68" s="727" t="s">
        <v>250</v>
      </c>
      <c r="D68" s="739">
        <f>IF(ISERROR(D72/D73),"",(D72/D73))</f>
        <v>1.0255707762557078</v>
      </c>
      <c r="E68" s="729"/>
      <c r="F68" s="729"/>
      <c r="G68" s="740">
        <f>D68</f>
        <v>1.0255707762557078</v>
      </c>
      <c r="H68" s="738">
        <f>IF(ISERROR(D68/G68-1),"",D68/G68-1)</f>
        <v>0</v>
      </c>
    </row>
    <row r="69" spans="2:8" x14ac:dyDescent="0.25">
      <c r="B69" s="731" t="str">
        <f>B64</f>
        <v>Neonatología</v>
      </c>
      <c r="C69" s="727" t="s">
        <v>251</v>
      </c>
      <c r="D69" s="728">
        <f>IF(ISERROR(D74/D66),"",ROUND(D74/D66,1))</f>
        <v>3.6</v>
      </c>
      <c r="E69" s="729"/>
      <c r="F69" s="729"/>
      <c r="G69" s="737">
        <f>D69</f>
        <v>3.6</v>
      </c>
      <c r="H69" s="738">
        <f>IF(ISERROR(D69/G69-1),"",D69/G69-1)</f>
        <v>0</v>
      </c>
    </row>
    <row r="70" spans="2:8" x14ac:dyDescent="0.25">
      <c r="B70" s="731" t="str">
        <f>B64</f>
        <v>Neonatología</v>
      </c>
      <c r="C70" s="727" t="s">
        <v>252</v>
      </c>
      <c r="D70" s="741">
        <f>IF(ISERROR((D73-D72)/D66),"",IF(D73-D72&lt;0,0,(D73-D72)/D66))</f>
        <v>0</v>
      </c>
      <c r="E70" s="729"/>
      <c r="F70" s="729"/>
      <c r="G70" s="737">
        <f>D70</f>
        <v>0</v>
      </c>
      <c r="H70" s="738" t="str">
        <f>IF(ISERROR(D70/G70-1),"",D70/G70-1)</f>
        <v/>
      </c>
    </row>
    <row r="71" spans="2:8" x14ac:dyDescent="0.25">
      <c r="B71" s="731" t="str">
        <f>B64</f>
        <v>Neonatología</v>
      </c>
      <c r="C71" s="727" t="s">
        <v>253</v>
      </c>
      <c r="D71" s="728">
        <f>IF(ISERROR(D66/D64),"",ROUND(D66/D64,1))</f>
        <v>117.7</v>
      </c>
      <c r="E71" s="729"/>
      <c r="F71" s="729"/>
      <c r="G71" s="741">
        <f>IF(ISERROR((30/G69)*G68),"",(30/G69)*G68*$H$1)</f>
        <v>102.5570776255708</v>
      </c>
      <c r="H71" s="738">
        <f>IF(ISERROR(D71/G71-1),"",D71/G71-1)</f>
        <v>0.1476536064113978</v>
      </c>
    </row>
    <row r="72" spans="2:8" x14ac:dyDescent="0.25">
      <c r="B72" s="731" t="str">
        <f>B64</f>
        <v>Neonatología</v>
      </c>
      <c r="C72" s="727" t="s">
        <v>254</v>
      </c>
      <c r="D72" s="725">
        <v>1123</v>
      </c>
      <c r="E72" s="729"/>
      <c r="F72" s="729"/>
      <c r="G72" s="728"/>
      <c r="H72" s="730"/>
    </row>
    <row r="73" spans="2:8" x14ac:dyDescent="0.25">
      <c r="B73" s="731" t="str">
        <f>B64</f>
        <v>Neonatología</v>
      </c>
      <c r="C73" s="727" t="s">
        <v>255</v>
      </c>
      <c r="D73" s="732">
        <f>'8_Inform_Camas_Quirof_Consul'!H12</f>
        <v>1095</v>
      </c>
      <c r="E73" s="729"/>
      <c r="F73" s="729"/>
      <c r="G73" s="728"/>
      <c r="H73" s="730"/>
    </row>
    <row r="74" spans="2:8" s="723" customFormat="1" x14ac:dyDescent="0.25">
      <c r="B74" s="731" t="str">
        <f>B64</f>
        <v>Neonatología</v>
      </c>
      <c r="C74" s="727" t="s">
        <v>256</v>
      </c>
      <c r="D74" s="742">
        <v>1286</v>
      </c>
      <c r="E74" s="729"/>
      <c r="F74" s="729"/>
      <c r="G74" s="728"/>
      <c r="H74" s="730"/>
    </row>
    <row r="75" spans="2:8" x14ac:dyDescent="0.25">
      <c r="B75" s="731" t="str">
        <f>B64</f>
        <v>Neonatología</v>
      </c>
      <c r="C75" s="727" t="s">
        <v>257</v>
      </c>
      <c r="D75" s="160">
        <f>D72-D65</f>
        <v>770</v>
      </c>
      <c r="E75" s="728">
        <f>'13_Normas_Programacion'!D35</f>
        <v>15</v>
      </c>
      <c r="F75" s="160">
        <f>D75*E75/60</f>
        <v>192.5</v>
      </c>
      <c r="G75" s="728"/>
      <c r="H75" s="730"/>
    </row>
    <row r="76" spans="2:8" x14ac:dyDescent="0.25">
      <c r="B76" s="743" t="s">
        <v>48</v>
      </c>
      <c r="C76" s="727" t="s">
        <v>246</v>
      </c>
      <c r="D76" s="728">
        <f>'8_Inform_Camas_Quirof_Consul'!E14</f>
        <v>0</v>
      </c>
      <c r="E76" s="729"/>
      <c r="F76" s="729"/>
      <c r="G76" s="728"/>
      <c r="H76" s="730"/>
    </row>
    <row r="77" spans="2:8" x14ac:dyDescent="0.25">
      <c r="B77" s="731" t="str">
        <f>B76</f>
        <v>Otros (Convenios)</v>
      </c>
      <c r="C77" s="727" t="s">
        <v>247</v>
      </c>
      <c r="D77" s="110">
        <v>0</v>
      </c>
      <c r="E77" s="728">
        <f>'13_Normas_Programacion'!D38</f>
        <v>60</v>
      </c>
      <c r="F77" s="732">
        <f>D77*E77/60</f>
        <v>0</v>
      </c>
      <c r="G77" s="728"/>
      <c r="H77" s="730"/>
    </row>
    <row r="78" spans="2:8" x14ac:dyDescent="0.25">
      <c r="B78" s="731" t="s">
        <v>48</v>
      </c>
      <c r="C78" s="727" t="s">
        <v>248</v>
      </c>
      <c r="D78" s="764">
        <f>'5_Produccion_Desagregada_10_09'!C17</f>
        <v>0</v>
      </c>
      <c r="E78" s="729"/>
      <c r="F78" s="729"/>
      <c r="G78" s="735" t="str">
        <f>IF(ISERROR(D76*G83),"",D76*G83)</f>
        <v/>
      </c>
      <c r="H78" s="736" t="str">
        <f>IF(ISERROR(D78/G78-1),"",D78/G78-1)</f>
        <v/>
      </c>
    </row>
    <row r="79" spans="2:8" x14ac:dyDescent="0.25">
      <c r="B79" s="731" t="str">
        <f>B76</f>
        <v>Otros (Convenios)</v>
      </c>
      <c r="C79" s="727" t="s">
        <v>249</v>
      </c>
      <c r="D79" s="737" t="str">
        <f>IF(ISERROR(D77/D78),"",(D77/D78))</f>
        <v/>
      </c>
      <c r="E79" s="729"/>
      <c r="F79" s="729"/>
      <c r="G79" s="732"/>
      <c r="H79" s="738"/>
    </row>
    <row r="80" spans="2:8" x14ac:dyDescent="0.25">
      <c r="B80" s="731" t="s">
        <v>48</v>
      </c>
      <c r="C80" s="727" t="s">
        <v>250</v>
      </c>
      <c r="D80" s="739" t="str">
        <f>IF(ISERROR(D84/D85),"",(D84/D85))</f>
        <v/>
      </c>
      <c r="E80" s="729"/>
      <c r="F80" s="729"/>
      <c r="G80" s="740" t="str">
        <f>D80</f>
        <v/>
      </c>
      <c r="H80" s="738" t="str">
        <f>IF(ISERROR(D80/G80-1),"",D80/G80-1)</f>
        <v/>
      </c>
    </row>
    <row r="81" spans="2:8" x14ac:dyDescent="0.25">
      <c r="B81" s="731" t="s">
        <v>48</v>
      </c>
      <c r="C81" s="727" t="s">
        <v>251</v>
      </c>
      <c r="D81" s="728" t="str">
        <f>IF(ISERROR(D86/D78),"",ROUND(D86/D78,1))</f>
        <v/>
      </c>
      <c r="E81" s="729"/>
      <c r="F81" s="729"/>
      <c r="G81" s="737" t="str">
        <f>D81</f>
        <v/>
      </c>
      <c r="H81" s="738" t="str">
        <f>IF(ISERROR(D81/G81-1),"",D81/G81-1)</f>
        <v/>
      </c>
    </row>
    <row r="82" spans="2:8" x14ac:dyDescent="0.25">
      <c r="B82" s="731" t="str">
        <f>B76</f>
        <v>Otros (Convenios)</v>
      </c>
      <c r="C82" s="727" t="s">
        <v>252</v>
      </c>
      <c r="D82" s="741" t="str">
        <f>IF(ISERROR((D85-D84)/D78),"",IF(D85-D84&lt;0,0,(D85-D84)/D78))</f>
        <v/>
      </c>
      <c r="E82" s="729"/>
      <c r="F82" s="729"/>
      <c r="G82" s="737" t="str">
        <f>D82</f>
        <v/>
      </c>
      <c r="H82" s="738" t="str">
        <f>IF(ISERROR(D82/G82-1),"",D82/G82-1)</f>
        <v/>
      </c>
    </row>
    <row r="83" spans="2:8" x14ac:dyDescent="0.25">
      <c r="B83" s="731" t="s">
        <v>48</v>
      </c>
      <c r="C83" s="727" t="s">
        <v>253</v>
      </c>
      <c r="D83" s="728" t="str">
        <f>IF(ISERROR(D78/D76),"",ROUND(D78/D76,1))</f>
        <v/>
      </c>
      <c r="E83" s="729"/>
      <c r="F83" s="729"/>
      <c r="G83" s="741" t="str">
        <f>IF(ISERROR((30/G81)*G80),"",(30/G81)*G80*$H$1)</f>
        <v/>
      </c>
      <c r="H83" s="738" t="str">
        <f>IF(ISERROR(D83/G83-1),"",D83/G83-1)</f>
        <v/>
      </c>
    </row>
    <row r="84" spans="2:8" x14ac:dyDescent="0.25">
      <c r="B84" s="731" t="s">
        <v>48</v>
      </c>
      <c r="C84" s="727" t="s">
        <v>254</v>
      </c>
      <c r="D84" s="725">
        <v>0</v>
      </c>
      <c r="E84" s="729"/>
      <c r="F84" s="729"/>
      <c r="G84" s="728"/>
      <c r="H84" s="730"/>
    </row>
    <row r="85" spans="2:8" x14ac:dyDescent="0.25">
      <c r="B85" s="731" t="s">
        <v>48</v>
      </c>
      <c r="C85" s="727" t="s">
        <v>255</v>
      </c>
      <c r="D85" s="732">
        <f>'8_Inform_Camas_Quirof_Consul'!H14</f>
        <v>0</v>
      </c>
      <c r="E85" s="729"/>
      <c r="F85" s="729"/>
      <c r="G85" s="728"/>
      <c r="H85" s="730"/>
    </row>
    <row r="86" spans="2:8" x14ac:dyDescent="0.25">
      <c r="B86" s="731" t="s">
        <v>48</v>
      </c>
      <c r="C86" s="727" t="s">
        <v>256</v>
      </c>
      <c r="D86" s="725">
        <v>0</v>
      </c>
      <c r="E86" s="729"/>
      <c r="F86" s="729"/>
      <c r="G86" s="728"/>
      <c r="H86" s="730"/>
    </row>
    <row r="87" spans="2:8" x14ac:dyDescent="0.25">
      <c r="B87" s="731" t="str">
        <f>B76</f>
        <v>Otros (Convenios)</v>
      </c>
      <c r="C87" s="727" t="s">
        <v>257</v>
      </c>
      <c r="D87" s="160">
        <f>D84-D77</f>
        <v>0</v>
      </c>
      <c r="E87" s="728">
        <f>'13_Normas_Programacion'!D39</f>
        <v>15</v>
      </c>
      <c r="F87" s="160">
        <f>D87*E87/60</f>
        <v>0</v>
      </c>
      <c r="G87" s="728"/>
      <c r="H87" s="730"/>
    </row>
    <row r="88" spans="2:8" x14ac:dyDescent="0.25">
      <c r="B88" s="744" t="s">
        <v>258</v>
      </c>
      <c r="C88" s="745" t="s">
        <v>246</v>
      </c>
      <c r="D88" s="729">
        <f>SUM(D4,D16,D28,D40,D52,D64,D76)</f>
        <v>50</v>
      </c>
      <c r="E88" s="746"/>
      <c r="F88" s="746"/>
      <c r="G88" s="747"/>
      <c r="H88" s="748"/>
    </row>
    <row r="89" spans="2:8" x14ac:dyDescent="0.25">
      <c r="B89" s="744" t="str">
        <f>B88</f>
        <v>Total Hospital</v>
      </c>
      <c r="C89" s="745" t="s">
        <v>247</v>
      </c>
      <c r="D89" s="749">
        <f>SUM(D5,D17,D29,D41,D53,D65,D77)</f>
        <v>5629</v>
      </c>
      <c r="E89" s="746"/>
      <c r="F89" s="732">
        <f>SUM(F5,F17,F29,F41,F53,F65,F77)</f>
        <v>5629</v>
      </c>
      <c r="G89" s="747"/>
      <c r="H89" s="748"/>
    </row>
    <row r="90" spans="2:8" ht="15.75" thickBot="1" x14ac:dyDescent="0.3">
      <c r="B90" s="744" t="str">
        <f>B88</f>
        <v>Total Hospital</v>
      </c>
      <c r="C90" s="745" t="s">
        <v>248</v>
      </c>
      <c r="D90" s="362">
        <f>SUM(D6,D18,D30,D42,D54,D66,D78)</f>
        <v>5925</v>
      </c>
      <c r="E90" s="746"/>
      <c r="F90" s="746"/>
      <c r="G90" s="750">
        <f>SUM(G6,G18,G30,G42,G54,G66,G78)</f>
        <v>5423.9492852665235</v>
      </c>
      <c r="H90" s="751">
        <f>IF(ISERROR(D90/G90-1),"",D90/G90-1)</f>
        <v>9.2377470433677944E-2</v>
      </c>
    </row>
    <row r="91" spans="2:8" x14ac:dyDescent="0.25">
      <c r="B91" s="744" t="str">
        <f>B88</f>
        <v>Total Hospital</v>
      </c>
      <c r="C91" s="745" t="s">
        <v>249</v>
      </c>
      <c r="D91" s="363">
        <f>IF(ISERROR(D89/D90),"",(D89/D90))</f>
        <v>0.95004219409282697</v>
      </c>
      <c r="E91" s="746"/>
      <c r="F91" s="752"/>
      <c r="G91" s="753"/>
      <c r="H91" s="754"/>
    </row>
    <row r="92" spans="2:8" x14ac:dyDescent="0.25">
      <c r="B92" s="744" t="str">
        <f>B88</f>
        <v>Total Hospital</v>
      </c>
      <c r="C92" s="745" t="s">
        <v>250</v>
      </c>
      <c r="D92" s="755">
        <f>IF(ISERROR(D96/D97),"",(D96/D97))</f>
        <v>1.0899726027397261</v>
      </c>
      <c r="E92" s="746"/>
      <c r="F92" s="752"/>
      <c r="G92" s="617"/>
      <c r="H92" s="617"/>
    </row>
    <row r="93" spans="2:8" x14ac:dyDescent="0.25">
      <c r="B93" s="744" t="str">
        <f>B88</f>
        <v>Total Hospital</v>
      </c>
      <c r="C93" s="745" t="s">
        <v>251</v>
      </c>
      <c r="D93" s="729">
        <f>IF(ISERROR(D98/D90),"",ROUND(D98/D90,1))</f>
        <v>3.6</v>
      </c>
      <c r="E93" s="746"/>
      <c r="F93" s="752"/>
      <c r="G93" s="617"/>
      <c r="H93" s="617"/>
    </row>
    <row r="94" spans="2:8" x14ac:dyDescent="0.25">
      <c r="B94" s="744" t="str">
        <f>B88</f>
        <v>Total Hospital</v>
      </c>
      <c r="C94" s="745" t="s">
        <v>252</v>
      </c>
      <c r="D94" s="756">
        <f>IF(ISERROR((D97-D96)/D90),"",(D97-D96)/D90)</f>
        <v>-0.27713080168776372</v>
      </c>
      <c r="E94" s="746"/>
      <c r="F94" s="752"/>
      <c r="G94" s="617"/>
      <c r="H94" s="617"/>
    </row>
    <row r="95" spans="2:8" x14ac:dyDescent="0.25">
      <c r="B95" s="744" t="str">
        <f>B88</f>
        <v>Total Hospital</v>
      </c>
      <c r="C95" s="745" t="s">
        <v>253</v>
      </c>
      <c r="D95" s="729">
        <f>IF(ISERROR(D90/D88),"",ROUND(D90/D88,1))</f>
        <v>118.5</v>
      </c>
      <c r="E95" s="746"/>
      <c r="F95" s="752"/>
      <c r="G95" s="617"/>
      <c r="H95" s="617"/>
    </row>
    <row r="96" spans="2:8" x14ac:dyDescent="0.25">
      <c r="B96" s="744" t="str">
        <f>B88</f>
        <v>Total Hospital</v>
      </c>
      <c r="C96" s="745" t="s">
        <v>254</v>
      </c>
      <c r="D96" s="749">
        <f>SUM(D12,D24,D36,D48,D60,D72,D84)</f>
        <v>19892</v>
      </c>
      <c r="E96" s="746"/>
      <c r="F96" s="752"/>
      <c r="G96" s="617"/>
      <c r="H96" s="617"/>
    </row>
    <row r="97" spans="2:8" x14ac:dyDescent="0.25">
      <c r="B97" s="744" t="str">
        <f>B88</f>
        <v>Total Hospital</v>
      </c>
      <c r="C97" s="745" t="s">
        <v>255</v>
      </c>
      <c r="D97" s="749">
        <f>SUM(D13,D25,D37,D49,D61,D73,D85)</f>
        <v>18250</v>
      </c>
      <c r="E97" s="746"/>
      <c r="F97" s="752"/>
      <c r="G97" s="617"/>
      <c r="H97" s="617"/>
    </row>
    <row r="98" spans="2:8" x14ac:dyDescent="0.25">
      <c r="B98" s="744" t="str">
        <f>B88</f>
        <v>Total Hospital</v>
      </c>
      <c r="C98" s="745" t="s">
        <v>256</v>
      </c>
      <c r="D98" s="362">
        <f>SUM(D14,D26,D38,D50,D62,D74,D86)</f>
        <v>21613</v>
      </c>
      <c r="E98" s="746"/>
      <c r="F98" s="752"/>
      <c r="G98" s="617"/>
      <c r="H98" s="617"/>
    </row>
    <row r="99" spans="2:8" ht="15.75" thickBot="1" x14ac:dyDescent="0.3">
      <c r="B99" s="872" t="str">
        <f>B88</f>
        <v>Total Hospital</v>
      </c>
      <c r="C99" s="757" t="s">
        <v>257</v>
      </c>
      <c r="D99" s="873">
        <f>D96-D89</f>
        <v>14263</v>
      </c>
      <c r="E99" s="874">
        <f>AVERAGE(E15,E27,E39,E51,E63,E75,E87)</f>
        <v>15</v>
      </c>
      <c r="F99" s="875">
        <f>D99*E99/60</f>
        <v>3565.75</v>
      </c>
      <c r="G99" s="617"/>
      <c r="H99" s="617"/>
    </row>
  </sheetData>
  <sheetProtection password="EADF" sheet="1" objects="1" scenarios="1"/>
  <mergeCells count="1">
    <mergeCell ref="B1:F1"/>
  </mergeCells>
  <phoneticPr fontId="60" type="noConversion"/>
  <pageMargins left="0.70866141732283472" right="0.70866141732283472" top="0.74803149606299213" bottom="0.74803149606299213" header="0.31496062992125984" footer="0.31496062992125984"/>
  <pageSetup scale="70" orientation="portrait" r:id="rId1"/>
  <ignoredErrors>
    <ignoredError sqref="D6" unlocked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36"/>
  <sheetViews>
    <sheetView view="pageBreakPreview" zoomScale="87" zoomScaleNormal="110" zoomScaleSheetLayoutView="87" workbookViewId="0">
      <selection activeCell="E9" sqref="E9"/>
    </sheetView>
  </sheetViews>
  <sheetFormatPr baseColWidth="10" defaultRowHeight="15" x14ac:dyDescent="0.25"/>
  <cols>
    <col min="1" max="1" width="1.7109375" style="141" customWidth="1"/>
    <col min="2" max="2" width="27.42578125" style="141" customWidth="1"/>
    <col min="3" max="12" width="11.42578125" style="141"/>
    <col min="13" max="13" width="1.140625" style="141" customWidth="1"/>
    <col min="14" max="21" width="10.7109375" style="141" customWidth="1"/>
    <col min="22" max="29" width="12.7109375" style="141" customWidth="1"/>
    <col min="30" max="16384" width="11.42578125" style="141"/>
  </cols>
  <sheetData>
    <row r="1" spans="2:33" ht="15.75" thickBot="1" x14ac:dyDescent="0.3">
      <c r="B1" s="1215" t="s">
        <v>292</v>
      </c>
      <c r="C1" s="1215"/>
      <c r="D1" s="1215"/>
      <c r="E1" s="1215"/>
      <c r="F1" s="1215"/>
      <c r="G1" s="1215"/>
      <c r="H1" s="1215"/>
      <c r="I1" s="1215"/>
      <c r="J1" s="1215"/>
      <c r="K1" s="1215"/>
      <c r="L1" s="1215"/>
    </row>
    <row r="2" spans="2:33" ht="38.25" customHeight="1" x14ac:dyDescent="0.25">
      <c r="B2" s="1219" t="s">
        <v>114</v>
      </c>
      <c r="C2" s="1211" t="s">
        <v>263</v>
      </c>
      <c r="D2" s="1211" t="s">
        <v>264</v>
      </c>
      <c r="E2" s="1211" t="s">
        <v>265</v>
      </c>
      <c r="F2" s="1211" t="s">
        <v>266</v>
      </c>
      <c r="G2" s="1211" t="s">
        <v>267</v>
      </c>
      <c r="H2" s="1222" t="s">
        <v>268</v>
      </c>
      <c r="I2" s="1222"/>
      <c r="J2" s="1222"/>
      <c r="K2" s="1224" t="s">
        <v>269</v>
      </c>
      <c r="L2" s="1225"/>
    </row>
    <row r="3" spans="2:33" ht="56.25" x14ac:dyDescent="0.25">
      <c r="B3" s="1220"/>
      <c r="C3" s="1212" t="s">
        <v>263</v>
      </c>
      <c r="D3" s="1212" t="s">
        <v>264</v>
      </c>
      <c r="E3" s="1212" t="s">
        <v>265</v>
      </c>
      <c r="F3" s="1212" t="s">
        <v>270</v>
      </c>
      <c r="G3" s="1212" t="s">
        <v>271</v>
      </c>
      <c r="H3" s="377" t="s">
        <v>272</v>
      </c>
      <c r="I3" s="377" t="s">
        <v>273</v>
      </c>
      <c r="J3" s="377" t="s">
        <v>624</v>
      </c>
      <c r="K3" s="377" t="s">
        <v>274</v>
      </c>
      <c r="L3" s="378" t="s">
        <v>275</v>
      </c>
      <c r="AD3" s="379" t="s">
        <v>668</v>
      </c>
    </row>
    <row r="4" spans="2:33" x14ac:dyDescent="0.25">
      <c r="B4" s="163" t="s">
        <v>71</v>
      </c>
      <c r="C4" s="158"/>
      <c r="D4" s="158"/>
      <c r="E4" s="158"/>
      <c r="F4" s="158"/>
      <c r="G4" s="158"/>
      <c r="H4" s="158"/>
      <c r="I4" s="158"/>
      <c r="J4" s="158"/>
      <c r="K4" s="158"/>
      <c r="L4" s="159"/>
    </row>
    <row r="5" spans="2:33" x14ac:dyDescent="0.25">
      <c r="B5" s="380" t="s">
        <v>576</v>
      </c>
      <c r="C5" s="160">
        <f>'10_Distribucion_RRHH'!F77</f>
        <v>792</v>
      </c>
      <c r="D5" s="160">
        <f>C5*'13_Normas_Programacion'!$C$12</f>
        <v>9504</v>
      </c>
      <c r="E5" s="1216">
        <f>'14_Produc_Rend_Cons_Cgia_10'!C6</f>
        <v>32189</v>
      </c>
      <c r="F5" s="1226">
        <f>IF(ISERROR(E5/D5),"",E5/D5)</f>
        <v>3.3868897306397305</v>
      </c>
      <c r="G5" s="1226">
        <f>'14_Produc_Rend_Cons_Cgia_10'!F6</f>
        <v>4</v>
      </c>
      <c r="H5" s="1216">
        <f>IF(ISERROR(E5/G5),"",E5/G5)</f>
        <v>8047.25</v>
      </c>
      <c r="I5" s="1216">
        <f>D5</f>
        <v>9504</v>
      </c>
      <c r="J5" s="1223">
        <f>IF(ISERROR(I5/H5),"",I5/H5)</f>
        <v>1.1810245736121034</v>
      </c>
      <c r="K5" s="1216">
        <f>IF(ISERROR(I5-H5),"",I5-H5)</f>
        <v>1456.75</v>
      </c>
      <c r="L5" s="1213">
        <f>IF(ISNUMBER(K5),K5/'13_Normas_Programacion'!$C$12,"")</f>
        <v>121.39583333333333</v>
      </c>
      <c r="AD5" s="381">
        <f>D5*G5</f>
        <v>38016</v>
      </c>
      <c r="AE5" s="141">
        <f>AD5/240</f>
        <v>158.4</v>
      </c>
      <c r="AF5" s="382">
        <f>AE5/'8_Inform_Camas_Quirof_Consul'!H35</f>
        <v>11.314285714285715</v>
      </c>
      <c r="AG5" s="141">
        <f>AF5/4</f>
        <v>2.8285714285714287</v>
      </c>
    </row>
    <row r="6" spans="2:33" x14ac:dyDescent="0.25">
      <c r="B6" s="380" t="s">
        <v>127</v>
      </c>
      <c r="C6" s="160">
        <f>'10_Distribucion_RRHH'!F79</f>
        <v>0</v>
      </c>
      <c r="D6" s="160">
        <f>C6*'13_Normas_Programacion'!$C$12</f>
        <v>0</v>
      </c>
      <c r="E6" s="1217"/>
      <c r="F6" s="1217"/>
      <c r="G6" s="1217">
        <f>'14_Produc_Rend_Cons_Cgia_10'!F5</f>
        <v>6</v>
      </c>
      <c r="H6" s="1217">
        <f>IF(ISERROR(E6/G6),"",E6/G6)</f>
        <v>0</v>
      </c>
      <c r="I6" s="1217">
        <f>D6</f>
        <v>0</v>
      </c>
      <c r="J6" s="1217"/>
      <c r="K6" s="1217"/>
      <c r="L6" s="1214"/>
      <c r="AD6" s="381">
        <f>D6*G6</f>
        <v>0</v>
      </c>
      <c r="AE6" s="141">
        <f>AD6/240</f>
        <v>0</v>
      </c>
      <c r="AF6" s="382" t="e">
        <f>AE6/'8_Inform_Camas_Quirof_Consul'!#REF!</f>
        <v>#REF!</v>
      </c>
      <c r="AG6" s="141" t="e">
        <f>AF6/4</f>
        <v>#REF!</v>
      </c>
    </row>
    <row r="7" spans="2:33" x14ac:dyDescent="0.25">
      <c r="B7" s="380" t="s">
        <v>126</v>
      </c>
      <c r="C7" s="160">
        <f>'10_Distribucion_RRHH'!F78</f>
        <v>308</v>
      </c>
      <c r="D7" s="160">
        <f>C7*'13_Normas_Programacion'!$C$12</f>
        <v>3696</v>
      </c>
      <c r="E7" s="301">
        <f>'14_Produc_Rend_Cons_Cgia_10'!C5</f>
        <v>19963</v>
      </c>
      <c r="F7" s="300">
        <f>IF(ISERROR(E7/D7),"",E7/D7)</f>
        <v>5.4012445887445883</v>
      </c>
      <c r="G7" s="300">
        <f>'14_Produc_Rend_Cons_Cgia_10'!F5</f>
        <v>6</v>
      </c>
      <c r="H7" s="301">
        <f>IF(ISERROR(E7/G7),"",E7/G7)</f>
        <v>3327.1666666666665</v>
      </c>
      <c r="I7" s="301">
        <f>D7</f>
        <v>3696</v>
      </c>
      <c r="J7" s="383">
        <f>IF(ISERROR(I7/H7),"",I7/H7)</f>
        <v>1.1108550819015179</v>
      </c>
      <c r="K7" s="301">
        <f>IF(ISERROR(I7-H7),"",I7-H7)</f>
        <v>368.83333333333348</v>
      </c>
      <c r="L7" s="384">
        <f>IF(ISNUMBER(K7),K7/'13_Normas_Programacion'!$C$12,"")</f>
        <v>30.736111111111125</v>
      </c>
      <c r="AD7" s="381">
        <f>D7*G7</f>
        <v>22176</v>
      </c>
      <c r="AE7" s="141">
        <f>AD7/240</f>
        <v>92.4</v>
      </c>
      <c r="AF7" s="382">
        <f>AE7/50</f>
        <v>1.8480000000000001</v>
      </c>
      <c r="AG7" s="141">
        <f>AF7/4</f>
        <v>0.46200000000000002</v>
      </c>
    </row>
    <row r="8" spans="2:33" x14ac:dyDescent="0.25">
      <c r="B8" s="385" t="s">
        <v>159</v>
      </c>
      <c r="C8" s="301">
        <f>SUM(C5:C7)</f>
        <v>1100</v>
      </c>
      <c r="D8" s="301">
        <f>SUM(D5:D7)</f>
        <v>13200</v>
      </c>
      <c r="E8" s="357"/>
      <c r="F8" s="357"/>
      <c r="G8" s="357"/>
      <c r="H8" s="357"/>
      <c r="I8" s="357"/>
      <c r="J8" s="357"/>
      <c r="K8" s="357"/>
      <c r="L8" s="359"/>
      <c r="AD8" s="386"/>
    </row>
    <row r="9" spans="2:33" x14ac:dyDescent="0.25">
      <c r="B9" s="163" t="s">
        <v>72</v>
      </c>
      <c r="C9" s="158"/>
      <c r="D9" s="158"/>
      <c r="E9" s="158"/>
      <c r="F9" s="158"/>
      <c r="G9" s="158"/>
      <c r="H9" s="158"/>
      <c r="I9" s="158"/>
      <c r="J9" s="158"/>
      <c r="K9" s="158"/>
      <c r="L9" s="159"/>
      <c r="AD9" s="386"/>
    </row>
    <row r="10" spans="2:33" x14ac:dyDescent="0.25">
      <c r="B10" s="380" t="s">
        <v>576</v>
      </c>
      <c r="C10" s="160">
        <f>'10_Distribucion_RRHH'!G77</f>
        <v>418</v>
      </c>
      <c r="D10" s="160">
        <f>C10*'13_Normas_Programacion'!$C$12</f>
        <v>5016</v>
      </c>
      <c r="E10" s="1216">
        <f>'14_Produc_Rend_Cons_Cgia_10'!C7</f>
        <v>20591</v>
      </c>
      <c r="F10" s="1209">
        <f>IF(ISERROR(E10/SUM(D10:D12)),"",E10/SUM(D10:D12))</f>
        <v>2.29400623885918</v>
      </c>
      <c r="G10" s="1209">
        <f>'14_Produc_Rend_Cons_Cgia_10'!F7</f>
        <v>4</v>
      </c>
      <c r="H10" s="1203">
        <f>IF(ISERROR(E10/G10),"",E10/G10)</f>
        <v>5147.75</v>
      </c>
      <c r="I10" s="1203">
        <f>SUM(D10:D12)</f>
        <v>8976</v>
      </c>
      <c r="J10" s="1209">
        <f>IF(ISERROR(I10/H10),"",I10/H10)</f>
        <v>1.743674420863484</v>
      </c>
      <c r="K10" s="1203">
        <f>IF(ISERROR(I10-H10),"",I10-H10)</f>
        <v>3828.25</v>
      </c>
      <c r="L10" s="1206">
        <f>IF(ISNUMBER(K10),K10/'13_Normas_Programacion'!$C$12,"")</f>
        <v>319.02083333333331</v>
      </c>
      <c r="AD10" s="1203">
        <f>(D10+D11)*G10</f>
        <v>35904</v>
      </c>
    </row>
    <row r="11" spans="2:33" x14ac:dyDescent="0.25">
      <c r="B11" s="380" t="s">
        <v>127</v>
      </c>
      <c r="C11" s="160">
        <f>'10_Distribucion_RRHH'!G79</f>
        <v>330</v>
      </c>
      <c r="D11" s="160">
        <f>C11*'13_Normas_Programacion'!$C$12</f>
        <v>3960</v>
      </c>
      <c r="E11" s="1217"/>
      <c r="F11" s="1218"/>
      <c r="G11" s="1218"/>
      <c r="H11" s="1204"/>
      <c r="I11" s="1204"/>
      <c r="J11" s="1218"/>
      <c r="K11" s="1204"/>
      <c r="L11" s="1221"/>
      <c r="AD11" s="1204"/>
    </row>
    <row r="12" spans="2:33" x14ac:dyDescent="0.25">
      <c r="B12" s="380" t="s">
        <v>126</v>
      </c>
      <c r="C12" s="160">
        <f>'10_Distribucion_RRHH'!G78</f>
        <v>0</v>
      </c>
      <c r="D12" s="160">
        <f>C12*'13_Normas_Programacion'!$C$12</f>
        <v>0</v>
      </c>
      <c r="E12" s="297"/>
      <c r="F12" s="298"/>
      <c r="G12" s="298"/>
      <c r="H12" s="297"/>
      <c r="I12" s="297"/>
      <c r="J12" s="298"/>
      <c r="K12" s="297"/>
      <c r="L12" s="387"/>
      <c r="AD12" s="386"/>
    </row>
    <row r="13" spans="2:33" x14ac:dyDescent="0.25">
      <c r="B13" s="385" t="s">
        <v>160</v>
      </c>
      <c r="C13" s="301">
        <f>SUM(C10:C12)</f>
        <v>748</v>
      </c>
      <c r="D13" s="301">
        <f>SUM(D10:D12)</f>
        <v>8976</v>
      </c>
      <c r="E13" s="357"/>
      <c r="F13" s="357"/>
      <c r="G13" s="357"/>
      <c r="H13" s="357"/>
      <c r="I13" s="357"/>
      <c r="J13" s="357"/>
      <c r="K13" s="357"/>
      <c r="L13" s="359"/>
      <c r="AD13" s="388"/>
    </row>
    <row r="14" spans="2:33" x14ac:dyDescent="0.25">
      <c r="B14" s="163" t="s">
        <v>70</v>
      </c>
      <c r="C14" s="158"/>
      <c r="D14" s="158"/>
      <c r="E14" s="158"/>
      <c r="F14" s="158"/>
      <c r="G14" s="158"/>
      <c r="H14" s="158"/>
      <c r="I14" s="158"/>
      <c r="J14" s="158"/>
      <c r="K14" s="158"/>
      <c r="L14" s="159"/>
      <c r="AD14" s="388"/>
    </row>
    <row r="15" spans="2:33" x14ac:dyDescent="0.25">
      <c r="B15" s="164" t="s">
        <v>276</v>
      </c>
      <c r="C15" s="360"/>
      <c r="D15" s="360"/>
      <c r="E15" s="360"/>
      <c r="F15" s="360"/>
      <c r="G15" s="360"/>
      <c r="H15" s="360"/>
      <c r="I15" s="360"/>
      <c r="J15" s="360"/>
      <c r="K15" s="360"/>
      <c r="L15" s="354"/>
      <c r="AD15" s="388"/>
    </row>
    <row r="16" spans="2:33" x14ac:dyDescent="0.25">
      <c r="B16" s="380" t="s">
        <v>576</v>
      </c>
      <c r="C16" s="238">
        <f>'10_Distribucion_RRHH'!H22</f>
        <v>110</v>
      </c>
      <c r="D16" s="160">
        <f>C16*'13_Normas_Programacion'!$C$12</f>
        <v>1320</v>
      </c>
      <c r="E16" s="1203">
        <f>'15_Produc_Rendi_Hosp_10'!D12</f>
        <v>5212</v>
      </c>
      <c r="F16" s="1209">
        <f>IF(ISERROR(E16/SUM(D16:D18)),"",E16/SUM(D16:D18))</f>
        <v>0.98712121212121207</v>
      </c>
      <c r="G16" s="1209">
        <f>'15_Produc_Rendi_Hosp_10'!D12/SUM('15_Produc_Rendi_Hosp_10'!F5,'15_Produc_Rendi_Hosp_10'!F15)</f>
        <v>2.5048660338820139</v>
      </c>
      <c r="H16" s="1203">
        <f>IF(ISERROR(E16/G16),"",E16/G16)</f>
        <v>2080.75</v>
      </c>
      <c r="I16" s="1203">
        <f>SUM(D16:D18)</f>
        <v>5280</v>
      </c>
      <c r="J16" s="1209">
        <f>IF(ISERROR(I16/H16),"",I16/H16)</f>
        <v>2.537546557731587</v>
      </c>
      <c r="K16" s="1203">
        <f>IF(ISERROR(I16-H16),"",I16-H16)</f>
        <v>3199.25</v>
      </c>
      <c r="L16" s="1206">
        <f>IF(ISNUMBER(K16),K16/'13_Normas_Programacion'!$C$12,"")</f>
        <v>266.60416666666669</v>
      </c>
      <c r="AD16" s="1205"/>
    </row>
    <row r="17" spans="2:30" x14ac:dyDescent="0.25">
      <c r="B17" s="380" t="s">
        <v>127</v>
      </c>
      <c r="C17" s="238">
        <f>'10_Distribucion_RRHH'!H24</f>
        <v>330</v>
      </c>
      <c r="D17" s="160">
        <f>C17*'13_Normas_Programacion'!$C$12</f>
        <v>3960</v>
      </c>
      <c r="E17" s="1208"/>
      <c r="F17" s="1210"/>
      <c r="G17" s="1210"/>
      <c r="H17" s="1208"/>
      <c r="I17" s="1208"/>
      <c r="J17" s="1210"/>
      <c r="K17" s="1208"/>
      <c r="L17" s="1207"/>
      <c r="AD17" s="1205"/>
    </row>
    <row r="18" spans="2:30" x14ac:dyDescent="0.25">
      <c r="B18" s="380" t="s">
        <v>126</v>
      </c>
      <c r="C18" s="238">
        <f>'10_Distribucion_RRHH'!H23</f>
        <v>0</v>
      </c>
      <c r="D18" s="160">
        <f>C18*'13_Normas_Programacion'!$C$12</f>
        <v>0</v>
      </c>
      <c r="E18" s="299"/>
      <c r="F18" s="298"/>
      <c r="G18" s="298"/>
      <c r="H18" s="299"/>
      <c r="I18" s="299"/>
      <c r="J18" s="298"/>
      <c r="K18" s="297"/>
      <c r="L18" s="387"/>
      <c r="AD18" s="388"/>
    </row>
    <row r="19" spans="2:30" x14ac:dyDescent="0.25">
      <c r="B19" s="385" t="s">
        <v>277</v>
      </c>
      <c r="C19" s="301">
        <f>SUM(C16:C18)</f>
        <v>440</v>
      </c>
      <c r="D19" s="301">
        <f>SUM(D16:D18)</f>
        <v>5280</v>
      </c>
      <c r="E19" s="357"/>
      <c r="F19" s="357"/>
      <c r="G19" s="357"/>
      <c r="H19" s="357"/>
      <c r="I19" s="357"/>
      <c r="J19" s="357"/>
      <c r="K19" s="357"/>
      <c r="L19" s="359"/>
      <c r="AD19" s="388"/>
    </row>
    <row r="20" spans="2:30" x14ac:dyDescent="0.25">
      <c r="B20" s="164" t="s">
        <v>278</v>
      </c>
      <c r="C20" s="360"/>
      <c r="D20" s="360"/>
      <c r="E20" s="360"/>
      <c r="F20" s="360"/>
      <c r="G20" s="360"/>
      <c r="H20" s="360"/>
      <c r="I20" s="360"/>
      <c r="J20" s="360"/>
      <c r="K20" s="360"/>
      <c r="L20" s="354"/>
      <c r="AD20" s="388"/>
    </row>
    <row r="21" spans="2:30" x14ac:dyDescent="0.25">
      <c r="B21" s="380" t="s">
        <v>576</v>
      </c>
      <c r="C21" s="238">
        <f>'10_Distribucion_RRHH'!H29</f>
        <v>0</v>
      </c>
      <c r="D21" s="160">
        <f>C21*'13_Normas_Programacion'!$C$12</f>
        <v>0</v>
      </c>
      <c r="E21" s="1203">
        <f>'15_Produc_Rendi_Hosp_10'!D24</f>
        <v>4160</v>
      </c>
      <c r="F21" s="1209">
        <f>IF(ISERROR(E21/SUM(D22:D23)),"",E21/SUM(D22:D23))</f>
        <v>2.2510822510822512</v>
      </c>
      <c r="G21" s="1209">
        <f>'15_Produc_Rendi_Hosp_10'!D24/SUM('15_Produc_Rendi_Hosp_10'!F17,'15_Produc_Rendi_Hosp_10'!F27)</f>
        <v>2.2951724137931033</v>
      </c>
      <c r="H21" s="1203">
        <f>IF(ISERROR(E21/G21),"",E21/G21)</f>
        <v>1812.5</v>
      </c>
      <c r="I21" s="1203">
        <f>SUM(D22:D23)</f>
        <v>1848</v>
      </c>
      <c r="J21" s="1209">
        <f>IF(ISERROR(I21/H21),"",I21/H21)</f>
        <v>1.0195862068965518</v>
      </c>
      <c r="K21" s="1203">
        <f>IF(ISERROR(I21-H21),"",I21-H21)</f>
        <v>35.5</v>
      </c>
      <c r="L21" s="1206">
        <f>IF(ISNUMBER(K21),K21/'13_Normas_Programacion'!$C$12,"")</f>
        <v>2.9583333333333335</v>
      </c>
      <c r="AD21" s="1205"/>
    </row>
    <row r="22" spans="2:30" x14ac:dyDescent="0.25">
      <c r="B22" s="380" t="s">
        <v>127</v>
      </c>
      <c r="C22" s="238">
        <f>'10_Distribucion_RRHH'!H31</f>
        <v>154</v>
      </c>
      <c r="D22" s="160">
        <f>C22*'[1]13. Normas Programación'!$C$12</f>
        <v>1848</v>
      </c>
      <c r="E22" s="1208"/>
      <c r="F22" s="1208"/>
      <c r="G22" s="1208"/>
      <c r="H22" s="1208"/>
      <c r="I22" s="1208"/>
      <c r="J22" s="1208"/>
      <c r="K22" s="1208"/>
      <c r="L22" s="1207"/>
      <c r="AD22" s="1205"/>
    </row>
    <row r="23" spans="2:30" x14ac:dyDescent="0.25">
      <c r="B23" s="380" t="s">
        <v>126</v>
      </c>
      <c r="C23" s="238">
        <f>'10_Distribucion_RRHH'!H30</f>
        <v>0</v>
      </c>
      <c r="D23" s="160">
        <f>C23*'[1]13. Normas Programación'!$C$12</f>
        <v>0</v>
      </c>
      <c r="E23" s="299"/>
      <c r="F23" s="298"/>
      <c r="G23" s="298"/>
      <c r="H23" s="299"/>
      <c r="I23" s="299"/>
      <c r="J23" s="298"/>
      <c r="K23" s="297"/>
      <c r="L23" s="387"/>
      <c r="AD23" s="388"/>
    </row>
    <row r="24" spans="2:30" x14ac:dyDescent="0.25">
      <c r="B24" s="385" t="s">
        <v>279</v>
      </c>
      <c r="C24" s="301">
        <f>SUM(C23:C23)</f>
        <v>0</v>
      </c>
      <c r="D24" s="301">
        <f>SUM(D23:D23)</f>
        <v>0</v>
      </c>
      <c r="E24" s="357"/>
      <c r="F24" s="357"/>
      <c r="G24" s="357"/>
      <c r="H24" s="357"/>
      <c r="I24" s="357"/>
      <c r="J24" s="357"/>
      <c r="K24" s="357"/>
      <c r="L24" s="359"/>
      <c r="AD24" s="388"/>
    </row>
    <row r="25" spans="2:30" x14ac:dyDescent="0.25">
      <c r="B25" s="164" t="s">
        <v>280</v>
      </c>
      <c r="C25" s="360"/>
      <c r="D25" s="360"/>
      <c r="E25" s="360"/>
      <c r="F25" s="360"/>
      <c r="G25" s="360"/>
      <c r="H25" s="360"/>
      <c r="I25" s="360"/>
      <c r="J25" s="360"/>
      <c r="K25" s="360"/>
      <c r="L25" s="354"/>
      <c r="AD25" s="388"/>
    </row>
    <row r="26" spans="2:30" x14ac:dyDescent="0.25">
      <c r="B26" s="380" t="s">
        <v>576</v>
      </c>
      <c r="C26" s="238">
        <f>'10_Distribucion_RRHH'!H36</f>
        <v>0</v>
      </c>
      <c r="D26" s="160">
        <f>C26*'13_Normas_Programacion'!$C$12</f>
        <v>0</v>
      </c>
      <c r="E26" s="1203">
        <f>'15_Produc_Rendi_Hosp_10'!D36</f>
        <v>1354</v>
      </c>
      <c r="F26" s="1209" t="str">
        <f>IF(ISERROR(E26/SUM(D26:D28)),"",E26/SUM(D26:D28))</f>
        <v/>
      </c>
      <c r="G26" s="1209">
        <f>'15_Produc_Rendi_Hosp_10'!D36/SUM('15_Produc_Rendi_Hosp_10'!F29,'15_Produc_Rendi_Hosp_10'!F39)</f>
        <v>2.0648112847884104</v>
      </c>
      <c r="H26" s="1203">
        <f>IF(ISERROR(E26/G26),"",E26/G26)</f>
        <v>655.75</v>
      </c>
      <c r="I26" s="1203">
        <f>SUM(D26:D28)</f>
        <v>0</v>
      </c>
      <c r="J26" s="1209">
        <f>IF(ISERROR(I26/H26),"",I26/H26)</f>
        <v>0</v>
      </c>
      <c r="K26" s="1203">
        <f>IF(ISERROR(I26-H26),"",I26-H26)</f>
        <v>-655.75</v>
      </c>
      <c r="L26" s="1206">
        <f>IF(ISNUMBER(K26),K26/'13_Normas_Programacion'!$C$12,"")</f>
        <v>-54.645833333333336</v>
      </c>
      <c r="AD26" s="1205"/>
    </row>
    <row r="27" spans="2:30" x14ac:dyDescent="0.25">
      <c r="B27" s="380" t="s">
        <v>127</v>
      </c>
      <c r="C27" s="238">
        <f>'10_Distribucion_RRHH'!H38</f>
        <v>0</v>
      </c>
      <c r="D27" s="160">
        <f>C27*'[1]13. Normas Programación'!$C$12</f>
        <v>0</v>
      </c>
      <c r="E27" s="1208"/>
      <c r="F27" s="1210"/>
      <c r="G27" s="1210"/>
      <c r="H27" s="1208"/>
      <c r="I27" s="1208"/>
      <c r="J27" s="1210"/>
      <c r="K27" s="1208"/>
      <c r="L27" s="1207"/>
      <c r="AD27" s="1205"/>
    </row>
    <row r="28" spans="2:30" x14ac:dyDescent="0.25">
      <c r="B28" s="380" t="s">
        <v>126</v>
      </c>
      <c r="C28" s="238">
        <f>'10_Distribucion_RRHH'!H37</f>
        <v>0</v>
      </c>
      <c r="D28" s="160">
        <f>C28*'[1]13. Normas Programación'!$C$12</f>
        <v>0</v>
      </c>
      <c r="E28" s="299"/>
      <c r="F28" s="298"/>
      <c r="G28" s="298"/>
      <c r="H28" s="299"/>
      <c r="I28" s="299"/>
      <c r="J28" s="298"/>
      <c r="K28" s="297"/>
      <c r="L28" s="387"/>
      <c r="AD28" s="388"/>
    </row>
    <row r="29" spans="2:30" x14ac:dyDescent="0.25">
      <c r="B29" s="385" t="s">
        <v>281</v>
      </c>
      <c r="C29" s="301">
        <f>SUM(C26:C28)</f>
        <v>0</v>
      </c>
      <c r="D29" s="301">
        <f>SUM(D26:D28)</f>
        <v>0</v>
      </c>
      <c r="E29" s="357"/>
      <c r="F29" s="357"/>
      <c r="G29" s="357"/>
      <c r="H29" s="357"/>
      <c r="I29" s="357"/>
      <c r="J29" s="357"/>
      <c r="K29" s="357"/>
      <c r="L29" s="359"/>
      <c r="AD29" s="388"/>
    </row>
    <row r="30" spans="2:30" x14ac:dyDescent="0.25">
      <c r="B30" s="164" t="s">
        <v>282</v>
      </c>
      <c r="C30" s="360"/>
      <c r="D30" s="360"/>
      <c r="E30" s="360"/>
      <c r="F30" s="360"/>
      <c r="G30" s="360"/>
      <c r="H30" s="360"/>
      <c r="I30" s="360"/>
      <c r="J30" s="360"/>
      <c r="K30" s="360"/>
      <c r="L30" s="354"/>
      <c r="AD30" s="388"/>
    </row>
    <row r="31" spans="2:30" x14ac:dyDescent="0.25">
      <c r="B31" s="380" t="s">
        <v>576</v>
      </c>
      <c r="C31" s="238">
        <f>'10_Distribucion_RRHH'!H43</f>
        <v>88</v>
      </c>
      <c r="D31" s="160">
        <f>C31*'13_Normas_Programacion'!$C$12</f>
        <v>1056</v>
      </c>
      <c r="E31" s="1203">
        <f>'15_Produc_Rendi_Hosp_10'!D48</f>
        <v>4095</v>
      </c>
      <c r="F31" s="1209" t="str">
        <f>IF(ISERROR(E31/SUM(D32:D33)),"",E31/SUM(D32:D33))</f>
        <v/>
      </c>
      <c r="G31" s="1209">
        <f>'15_Produc_Rendi_Hosp_10'!D48/SUM('15_Produc_Rendi_Hosp_10'!F41,'15_Produc_Rendi_Hosp_10'!F51)</f>
        <v>1.935483870967742</v>
      </c>
      <c r="H31" s="1203">
        <f>IF(ISERROR(E31/G31),"",E31/G31)</f>
        <v>2115.75</v>
      </c>
      <c r="I31" s="1203">
        <f>SUM(D32:D33)</f>
        <v>0</v>
      </c>
      <c r="J31" s="1209">
        <f>IF(ISERROR(I31/H31),"",I31/H31)</f>
        <v>0</v>
      </c>
      <c r="K31" s="1203">
        <f>IF(ISERROR(I31-H31),"",I31-H31)</f>
        <v>-2115.75</v>
      </c>
      <c r="L31" s="1206">
        <f>IF(ISNUMBER(K31),K31/'13_Normas_Programacion'!$C$12,"")</f>
        <v>-176.3125</v>
      </c>
      <c r="AD31" s="1205"/>
    </row>
    <row r="32" spans="2:30" x14ac:dyDescent="0.25">
      <c r="B32" s="380" t="s">
        <v>127</v>
      </c>
      <c r="C32" s="238">
        <f>'10_Distribucion_RRHH'!H45</f>
        <v>0</v>
      </c>
      <c r="D32" s="160">
        <f>C32*'[1]13. Normas Programación'!$C$12</f>
        <v>0</v>
      </c>
      <c r="E32" s="1208"/>
      <c r="F32" s="1210"/>
      <c r="G32" s="1210"/>
      <c r="H32" s="1208"/>
      <c r="I32" s="1208"/>
      <c r="J32" s="1210"/>
      <c r="K32" s="1208"/>
      <c r="L32" s="1207"/>
      <c r="AD32" s="1205"/>
    </row>
    <row r="33" spans="2:30" x14ac:dyDescent="0.25">
      <c r="B33" s="380" t="s">
        <v>126</v>
      </c>
      <c r="C33" s="238">
        <f>'10_Distribucion_RRHH'!H44</f>
        <v>0</v>
      </c>
      <c r="D33" s="160">
        <f>C33*'[1]13. Normas Programación'!$C$12</f>
        <v>0</v>
      </c>
      <c r="E33" s="299"/>
      <c r="F33" s="298"/>
      <c r="G33" s="298"/>
      <c r="H33" s="299"/>
      <c r="I33" s="299"/>
      <c r="J33" s="298"/>
      <c r="K33" s="297"/>
      <c r="L33" s="387"/>
      <c r="AD33" s="388"/>
    </row>
    <row r="34" spans="2:30" x14ac:dyDescent="0.25">
      <c r="B34" s="385" t="s">
        <v>283</v>
      </c>
      <c r="C34" s="301">
        <f>SUM(C33:C33)</f>
        <v>0</v>
      </c>
      <c r="D34" s="301">
        <f>SUM(D33:D33)</f>
        <v>0</v>
      </c>
      <c r="E34" s="357"/>
      <c r="F34" s="357"/>
      <c r="G34" s="357"/>
      <c r="H34" s="357"/>
      <c r="I34" s="357"/>
      <c r="J34" s="357"/>
      <c r="K34" s="357"/>
      <c r="L34" s="359"/>
      <c r="AD34" s="388"/>
    </row>
    <row r="35" spans="2:30" x14ac:dyDescent="0.25">
      <c r="B35" s="164" t="s">
        <v>284</v>
      </c>
      <c r="C35" s="360"/>
      <c r="D35" s="360"/>
      <c r="E35" s="360"/>
      <c r="F35" s="360"/>
      <c r="G35" s="360"/>
      <c r="H35" s="360"/>
      <c r="I35" s="360"/>
      <c r="J35" s="360"/>
      <c r="K35" s="360"/>
      <c r="L35" s="354"/>
      <c r="AD35" s="388"/>
    </row>
    <row r="36" spans="2:30" x14ac:dyDescent="0.25">
      <c r="B36" s="380" t="s">
        <v>576</v>
      </c>
      <c r="C36" s="238">
        <f>'10_Distribucion_RRHH'!H50</f>
        <v>374</v>
      </c>
      <c r="D36" s="160">
        <f>C36*'13_Normas_Programacion'!$C$12</f>
        <v>4488</v>
      </c>
      <c r="E36" s="1203">
        <f>'15_Produc_Rendi_Hosp_10'!D60</f>
        <v>3948</v>
      </c>
      <c r="F36" s="1209">
        <f>IF(ISERROR(E36/SUM(D36:D38)),"",E36/SUM(D36:D38))</f>
        <v>0.62310606060606055</v>
      </c>
      <c r="G36" s="1209">
        <f>'15_Produc_Rendi_Hosp_10'!D60/SUM('15_Produc_Rendi_Hosp_10'!F53,'15_Produc_Rendi_Hosp_10'!F63)</f>
        <v>1.9894179894179893</v>
      </c>
      <c r="H36" s="1203">
        <f>IF(ISERROR(E36/G36),"",E36/G36)</f>
        <v>1984.5</v>
      </c>
      <c r="I36" s="1203">
        <f>SUM(D36:D38)</f>
        <v>6336</v>
      </c>
      <c r="J36" s="1209">
        <f>IF(ISERROR(I36/H36),"",I36/H36)</f>
        <v>3.1927437641723357</v>
      </c>
      <c r="K36" s="1203">
        <f>IF(ISERROR(I36-H36),"",I36-H36)</f>
        <v>4351.5</v>
      </c>
      <c r="L36" s="1206">
        <f>IF(ISNUMBER(K36),K36/'13_Normas_Programacion'!$C$12,"")</f>
        <v>362.625</v>
      </c>
      <c r="AD36" s="1205"/>
    </row>
    <row r="37" spans="2:30" x14ac:dyDescent="0.25">
      <c r="B37" s="380" t="s">
        <v>127</v>
      </c>
      <c r="C37" s="238">
        <f>'10_Distribucion_RRHH'!H52</f>
        <v>154</v>
      </c>
      <c r="D37" s="160">
        <f>C37*'[1]13. Normas Programación'!$C$12</f>
        <v>1848</v>
      </c>
      <c r="E37" s="1208"/>
      <c r="F37" s="1210"/>
      <c r="G37" s="1210"/>
      <c r="H37" s="1208"/>
      <c r="I37" s="1208"/>
      <c r="J37" s="1210"/>
      <c r="K37" s="1208"/>
      <c r="L37" s="1207"/>
      <c r="AD37" s="1205"/>
    </row>
    <row r="38" spans="2:30" x14ac:dyDescent="0.25">
      <c r="B38" s="380" t="s">
        <v>126</v>
      </c>
      <c r="C38" s="238">
        <f>'10_Distribucion_RRHH'!H51</f>
        <v>0</v>
      </c>
      <c r="D38" s="160">
        <f>C38*'[1]13. Normas Programación'!$C$12</f>
        <v>0</v>
      </c>
      <c r="E38" s="299"/>
      <c r="F38" s="298"/>
      <c r="G38" s="298"/>
      <c r="H38" s="299"/>
      <c r="I38" s="297"/>
      <c r="J38" s="298"/>
      <c r="K38" s="297"/>
      <c r="L38" s="387"/>
      <c r="AD38" s="388"/>
    </row>
    <row r="39" spans="2:30" x14ac:dyDescent="0.25">
      <c r="B39" s="385" t="s">
        <v>285</v>
      </c>
      <c r="C39" s="301">
        <f>SUM(C36:C38)</f>
        <v>528</v>
      </c>
      <c r="D39" s="301">
        <f>SUM(D36:D38)</f>
        <v>6336</v>
      </c>
      <c r="E39" s="357"/>
      <c r="F39" s="357"/>
      <c r="G39" s="357"/>
      <c r="H39" s="357"/>
      <c r="I39" s="357"/>
      <c r="J39" s="357"/>
      <c r="K39" s="357"/>
      <c r="L39" s="359"/>
      <c r="AD39" s="388"/>
    </row>
    <row r="40" spans="2:30" x14ac:dyDescent="0.25">
      <c r="B40" s="164" t="s">
        <v>286</v>
      </c>
      <c r="C40" s="360"/>
      <c r="D40" s="360"/>
      <c r="E40" s="360"/>
      <c r="F40" s="360"/>
      <c r="G40" s="360"/>
      <c r="H40" s="360"/>
      <c r="I40" s="360"/>
      <c r="J40" s="360"/>
      <c r="K40" s="360"/>
      <c r="L40" s="354"/>
      <c r="AD40" s="388"/>
    </row>
    <row r="41" spans="2:30" x14ac:dyDescent="0.25">
      <c r="B41" s="380" t="s">
        <v>576</v>
      </c>
      <c r="C41" s="238">
        <f>'10_Distribucion_RRHH'!H57</f>
        <v>110</v>
      </c>
      <c r="D41" s="160">
        <f>C41*'13_Normas_Programacion'!$C$12</f>
        <v>1320</v>
      </c>
      <c r="E41" s="1203">
        <f>'15_Produc_Rendi_Hosp_10'!D72</f>
        <v>1123</v>
      </c>
      <c r="F41" s="1209">
        <f>IF(ISERROR(E41/SUM(D41:D43)),"",E41/SUM(D41:D43))</f>
        <v>0.85075757575757571</v>
      </c>
      <c r="G41" s="1209">
        <f>'15_Produc_Rendi_Hosp_10'!D72/SUM('15_Produc_Rendi_Hosp_10'!F65,'15_Produc_Rendi_Hosp_10'!F75)</f>
        <v>2.0586617781851513</v>
      </c>
      <c r="H41" s="1203">
        <f>IF(ISERROR(E41/G41),"",E41/G41)</f>
        <v>545.5</v>
      </c>
      <c r="I41" s="1203">
        <f>SUM(D41:D43)</f>
        <v>1320</v>
      </c>
      <c r="J41" s="1209">
        <f>IF(ISERROR(I41/H41),"",I41/H41)</f>
        <v>2.4197983501374885</v>
      </c>
      <c r="K41" s="1203">
        <f>IF(ISERROR(I41-H41),"",I41-H41)</f>
        <v>774.5</v>
      </c>
      <c r="L41" s="1206">
        <f>IF(ISNUMBER(K41),K41/'13_Normas_Programacion'!$C$12,"")</f>
        <v>64.541666666666671</v>
      </c>
      <c r="AD41" s="1205"/>
    </row>
    <row r="42" spans="2:30" x14ac:dyDescent="0.25">
      <c r="B42" s="380" t="s">
        <v>127</v>
      </c>
      <c r="C42" s="238">
        <f>'10_Distribucion_RRHH'!H59</f>
        <v>0</v>
      </c>
      <c r="D42" s="160">
        <f>C42*'[1]13. Normas Programación'!$C$12</f>
        <v>0</v>
      </c>
      <c r="E42" s="1208"/>
      <c r="F42" s="1210"/>
      <c r="G42" s="1210"/>
      <c r="H42" s="1208"/>
      <c r="I42" s="1208"/>
      <c r="J42" s="1210"/>
      <c r="K42" s="1208"/>
      <c r="L42" s="1207"/>
      <c r="AD42" s="1205"/>
    </row>
    <row r="43" spans="2:30" x14ac:dyDescent="0.25">
      <c r="B43" s="380" t="s">
        <v>126</v>
      </c>
      <c r="C43" s="238">
        <f>'10_Distribucion_RRHH'!H58</f>
        <v>0</v>
      </c>
      <c r="D43" s="160">
        <f>C43*'[1]13. Normas Programación'!$C$12</f>
        <v>0</v>
      </c>
      <c r="E43" s="299"/>
      <c r="F43" s="298"/>
      <c r="G43" s="298"/>
      <c r="H43" s="299"/>
      <c r="I43" s="297"/>
      <c r="J43" s="298"/>
      <c r="K43" s="297"/>
      <c r="L43" s="387"/>
      <c r="AD43" s="388"/>
    </row>
    <row r="44" spans="2:30" x14ac:dyDescent="0.25">
      <c r="B44" s="385" t="s">
        <v>287</v>
      </c>
      <c r="C44" s="301">
        <f>SUM(C41:C43)</f>
        <v>110</v>
      </c>
      <c r="D44" s="301">
        <f>SUM(D41:D43)</f>
        <v>1320</v>
      </c>
      <c r="E44" s="357"/>
      <c r="F44" s="357"/>
      <c r="G44" s="357"/>
      <c r="H44" s="357"/>
      <c r="I44" s="357"/>
      <c r="J44" s="357"/>
      <c r="K44" s="357"/>
      <c r="L44" s="359"/>
      <c r="AD44" s="388"/>
    </row>
    <row r="45" spans="2:30" x14ac:dyDescent="0.25">
      <c r="B45" s="164" t="s">
        <v>288</v>
      </c>
      <c r="C45" s="360"/>
      <c r="D45" s="360"/>
      <c r="E45" s="360"/>
      <c r="F45" s="360"/>
      <c r="G45" s="360"/>
      <c r="H45" s="360"/>
      <c r="I45" s="360"/>
      <c r="J45" s="360"/>
      <c r="K45" s="360"/>
      <c r="L45" s="354"/>
      <c r="AD45" s="388"/>
    </row>
    <row r="46" spans="2:30" x14ac:dyDescent="0.25">
      <c r="B46" s="380" t="s">
        <v>576</v>
      </c>
      <c r="C46" s="238">
        <f>'10_Distribucion_RRHH'!H64</f>
        <v>0</v>
      </c>
      <c r="D46" s="160">
        <f>C46*'13_Normas_Programacion'!$C$12</f>
        <v>0</v>
      </c>
      <c r="E46" s="1203">
        <f>'15_Produc_Rendi_Hosp_10'!D84</f>
        <v>0</v>
      </c>
      <c r="F46" s="1209" t="str">
        <f>IF(ISERROR(E46/SUM(D46:D48)),"",E46/SUM(D46:D48))</f>
        <v/>
      </c>
      <c r="G46" s="1209" t="e">
        <f>'15_Produc_Rendi_Hosp_10'!D84/SUM('15_Produc_Rendi_Hosp_10'!F77,'15_Produc_Rendi_Hosp_10'!F87)</f>
        <v>#DIV/0!</v>
      </c>
      <c r="H46" s="1203" t="str">
        <f>IF(ISERROR(E46/G46),"",E46/G46)</f>
        <v/>
      </c>
      <c r="I46" s="1203">
        <f>SUM(D46:D48)</f>
        <v>0</v>
      </c>
      <c r="J46" s="1209" t="str">
        <f>IF(ISERROR(I46/H46),"",I46/H46)</f>
        <v/>
      </c>
      <c r="K46" s="1203" t="str">
        <f>IF(ISERROR(I46-H46),"",I46-H46)</f>
        <v/>
      </c>
      <c r="L46" s="1206" t="str">
        <f>IF(ISNUMBER(K46),K46/'13_Normas_Programacion'!$C$12,"")</f>
        <v/>
      </c>
      <c r="AD46" s="1205"/>
    </row>
    <row r="47" spans="2:30" x14ac:dyDescent="0.25">
      <c r="B47" s="380" t="s">
        <v>127</v>
      </c>
      <c r="C47" s="238">
        <f>'10_Distribucion_RRHH'!H66</f>
        <v>0</v>
      </c>
      <c r="D47" s="160">
        <f>C47*'[1]13. Normas Programación'!$C$12</f>
        <v>0</v>
      </c>
      <c r="E47" s="1208"/>
      <c r="F47" s="1210"/>
      <c r="G47" s="1210"/>
      <c r="H47" s="1208"/>
      <c r="I47" s="1208"/>
      <c r="J47" s="1210"/>
      <c r="K47" s="1208"/>
      <c r="L47" s="1207"/>
      <c r="AD47" s="1205"/>
    </row>
    <row r="48" spans="2:30" x14ac:dyDescent="0.25">
      <c r="B48" s="380" t="s">
        <v>126</v>
      </c>
      <c r="C48" s="238">
        <f>'10_Distribucion_RRHH'!H65</f>
        <v>0</v>
      </c>
      <c r="D48" s="160">
        <f>C48*'[1]13. Normas Programación'!$C$12</f>
        <v>0</v>
      </c>
      <c r="E48" s="299"/>
      <c r="F48" s="298"/>
      <c r="G48" s="298"/>
      <c r="H48" s="299"/>
      <c r="I48" s="297"/>
      <c r="J48" s="298"/>
      <c r="K48" s="297"/>
      <c r="L48" s="387"/>
      <c r="AD48" s="388"/>
    </row>
    <row r="49" spans="2:30" x14ac:dyDescent="0.25">
      <c r="B49" s="385" t="s">
        <v>166</v>
      </c>
      <c r="C49" s="301">
        <f>SUM(C46:C48)</f>
        <v>0</v>
      </c>
      <c r="D49" s="301">
        <f>SUM(D46:D48)</f>
        <v>0</v>
      </c>
      <c r="E49" s="357"/>
      <c r="F49" s="357"/>
      <c r="G49" s="357"/>
      <c r="H49" s="357"/>
      <c r="I49" s="357"/>
      <c r="J49" s="357"/>
      <c r="K49" s="357"/>
      <c r="L49" s="359"/>
      <c r="AD49" s="388"/>
    </row>
    <row r="50" spans="2:30" ht="3" customHeight="1" thickBot="1" x14ac:dyDescent="0.3">
      <c r="B50" s="389"/>
      <c r="C50" s="390"/>
      <c r="D50" s="390"/>
      <c r="E50" s="364"/>
      <c r="F50" s="364"/>
      <c r="G50" s="364"/>
      <c r="H50" s="364"/>
      <c r="I50" s="364"/>
      <c r="J50" s="364"/>
      <c r="K50" s="364"/>
      <c r="L50" s="391"/>
      <c r="AD50" s="388"/>
    </row>
    <row r="51" spans="2:30" ht="25.5" x14ac:dyDescent="0.25">
      <c r="B51" s="165" t="s">
        <v>233</v>
      </c>
      <c r="C51" s="392"/>
      <c r="D51" s="392"/>
      <c r="E51" s="161" t="s">
        <v>293</v>
      </c>
      <c r="F51" s="392"/>
      <c r="G51" s="392"/>
      <c r="H51" s="392"/>
      <c r="I51" s="392"/>
      <c r="J51" s="392"/>
      <c r="K51" s="392"/>
      <c r="L51" s="393"/>
      <c r="AD51" s="388"/>
    </row>
    <row r="52" spans="2:30" x14ac:dyDescent="0.25">
      <c r="B52" s="380" t="s">
        <v>576</v>
      </c>
      <c r="C52" s="238">
        <f>'10_Distribucion_RRHH'!I77</f>
        <v>308</v>
      </c>
      <c r="D52" s="160">
        <f>C52*'13_Normas_Programacion'!$C$12</f>
        <v>3696</v>
      </c>
      <c r="E52" s="1203">
        <f>'14_Produc_Rend_Cons_Cgia_10'!C11</f>
        <v>1097</v>
      </c>
      <c r="F52" s="1209">
        <f>IF(ISERROR(E52/SUM(D52:D54)),"",E52/SUM(D52:D54))</f>
        <v>0.2968073593073593</v>
      </c>
      <c r="G52" s="1209">
        <f>'14_Produc_Rend_Cons_Cgia_10'!F11</f>
        <v>0</v>
      </c>
      <c r="H52" s="1203" t="str">
        <f>IF(ISERROR(E52/G52),"",E52/G52)</f>
        <v/>
      </c>
      <c r="I52" s="1203">
        <f>SUM(D52:D54)</f>
        <v>3696</v>
      </c>
      <c r="J52" s="1209" t="str">
        <f>IF(ISERROR(I52/H52),"",I52/H52)</f>
        <v/>
      </c>
      <c r="K52" s="1203" t="str">
        <f>IF(ISERROR(I52-H52),"",I52-H52)</f>
        <v/>
      </c>
      <c r="L52" s="1206" t="str">
        <f>IF(ISNUMBER(K52),K52/'13_Normas_Programacion'!$C$12,"")</f>
        <v/>
      </c>
      <c r="AD52" s="1205"/>
    </row>
    <row r="53" spans="2:30" x14ac:dyDescent="0.25">
      <c r="B53" s="380" t="s">
        <v>127</v>
      </c>
      <c r="C53" s="238">
        <f>'10_Distribucion_RRHH'!I79</f>
        <v>0</v>
      </c>
      <c r="D53" s="160">
        <f>C53*'[1]13. Normas Programación'!$C$12</f>
        <v>0</v>
      </c>
      <c r="E53" s="1208"/>
      <c r="F53" s="1210"/>
      <c r="G53" s="1210"/>
      <c r="H53" s="1208"/>
      <c r="I53" s="1208"/>
      <c r="J53" s="1210"/>
      <c r="K53" s="1208"/>
      <c r="L53" s="1207"/>
      <c r="AD53" s="1205"/>
    </row>
    <row r="54" spans="2:30" x14ac:dyDescent="0.25">
      <c r="B54" s="380" t="s">
        <v>126</v>
      </c>
      <c r="C54" s="238">
        <f>'10_Distribucion_RRHH'!I78</f>
        <v>0</v>
      </c>
      <c r="D54" s="160">
        <f>C54*'[1]13. Normas Programación'!$C$12</f>
        <v>0</v>
      </c>
      <c r="E54" s="297"/>
      <c r="F54" s="298"/>
      <c r="G54" s="298"/>
      <c r="H54" s="297"/>
      <c r="I54" s="297"/>
      <c r="J54" s="298"/>
      <c r="K54" s="297"/>
      <c r="L54" s="387"/>
      <c r="AD54" s="388"/>
    </row>
    <row r="55" spans="2:30" x14ac:dyDescent="0.25">
      <c r="B55" s="385" t="s">
        <v>236</v>
      </c>
      <c r="C55" s="301">
        <f>SUM(C52:C54)</f>
        <v>308</v>
      </c>
      <c r="D55" s="301">
        <f>SUM(D52:D54)</f>
        <v>3696</v>
      </c>
      <c r="E55" s="357"/>
      <c r="F55" s="357"/>
      <c r="G55" s="357"/>
      <c r="H55" s="357"/>
      <c r="I55" s="357"/>
      <c r="J55" s="357"/>
      <c r="K55" s="357"/>
      <c r="L55" s="359"/>
      <c r="AD55" s="388"/>
    </row>
    <row r="56" spans="2:30" ht="25.5" x14ac:dyDescent="0.25">
      <c r="B56" s="163" t="s">
        <v>289</v>
      </c>
      <c r="C56" s="358"/>
      <c r="D56" s="358"/>
      <c r="E56" s="162" t="s">
        <v>237</v>
      </c>
      <c r="F56" s="358"/>
      <c r="G56" s="358"/>
      <c r="H56" s="358"/>
      <c r="I56" s="358"/>
      <c r="J56" s="358"/>
      <c r="K56" s="358"/>
      <c r="L56" s="394"/>
      <c r="AD56" s="388"/>
    </row>
    <row r="57" spans="2:30" x14ac:dyDescent="0.25">
      <c r="B57" s="380" t="s">
        <v>576</v>
      </c>
      <c r="C57" s="238">
        <f>'10_Distribucion_RRHH'!J77</f>
        <v>704</v>
      </c>
      <c r="D57" s="160">
        <f>C57*'13_Normas_Programacion'!$C$12</f>
        <v>8448</v>
      </c>
      <c r="E57" s="1203">
        <f>'14_Produc_Rend_Cons_Cgia_10'!C17</f>
        <v>1279</v>
      </c>
      <c r="F57" s="1209">
        <f>IF(ISERROR(E57/SUM(D57:D59)),"",E57/SUM(D57:D59))</f>
        <v>0.1513967803030303</v>
      </c>
      <c r="G57" s="1209">
        <f>'14_Produc_Rend_Cons_Cgia_10'!F17</f>
        <v>0.5</v>
      </c>
      <c r="H57" s="1203">
        <f>IF(ISERROR(E57/G57),"",E57/G57)</f>
        <v>2558</v>
      </c>
      <c r="I57" s="1203">
        <f>SUM(D57:D59)</f>
        <v>8448</v>
      </c>
      <c r="J57" s="1209">
        <f>IF(ISERROR(I57/H57),"",I57/H57)</f>
        <v>3.3025801407349493</v>
      </c>
      <c r="K57" s="1203">
        <f>IF(ISERROR(I57-H57),"",I57-H57)</f>
        <v>5890</v>
      </c>
      <c r="L57" s="1206">
        <f>IF(ISNUMBER(K57),K57/'13_Normas_Programacion'!$C$12,"")</f>
        <v>490.83333333333331</v>
      </c>
      <c r="AD57" s="1205"/>
    </row>
    <row r="58" spans="2:30" x14ac:dyDescent="0.25">
      <c r="B58" s="380" t="s">
        <v>127</v>
      </c>
      <c r="C58" s="238">
        <f>'10_Distribucion_RRHH'!J79</f>
        <v>0</v>
      </c>
      <c r="D58" s="160">
        <f>C58*'[1]13. Normas Programación'!$C$12</f>
        <v>0</v>
      </c>
      <c r="E58" s="1208"/>
      <c r="F58" s="1210"/>
      <c r="G58" s="1210"/>
      <c r="H58" s="1208"/>
      <c r="I58" s="1208"/>
      <c r="J58" s="1210"/>
      <c r="K58" s="1208"/>
      <c r="L58" s="1207"/>
      <c r="AD58" s="1205"/>
    </row>
    <row r="59" spans="2:30" x14ac:dyDescent="0.25">
      <c r="B59" s="380" t="s">
        <v>126</v>
      </c>
      <c r="C59" s="238">
        <f>'10_Distribucion_RRHH'!J78</f>
        <v>0</v>
      </c>
      <c r="D59" s="160">
        <f>C59*'[1]13. Normas Programación'!$C$12</f>
        <v>0</v>
      </c>
      <c r="E59" s="299"/>
      <c r="F59" s="298"/>
      <c r="G59" s="298"/>
      <c r="H59" s="299"/>
      <c r="I59" s="297"/>
      <c r="J59" s="298"/>
      <c r="K59" s="297"/>
      <c r="L59" s="387"/>
      <c r="AD59" s="388"/>
    </row>
    <row r="60" spans="2:30" x14ac:dyDescent="0.25">
      <c r="B60" s="385" t="s">
        <v>290</v>
      </c>
      <c r="C60" s="301">
        <f>SUM(C57:C59)</f>
        <v>704</v>
      </c>
      <c r="D60" s="301">
        <f>SUM(D57:D59)</f>
        <v>8448</v>
      </c>
      <c r="E60" s="357"/>
      <c r="F60" s="357"/>
      <c r="G60" s="357"/>
      <c r="H60" s="357"/>
      <c r="I60" s="357"/>
      <c r="J60" s="357"/>
      <c r="K60" s="357"/>
      <c r="L60" s="359"/>
      <c r="AD60" s="388"/>
    </row>
    <row r="61" spans="2:30" ht="25.5" x14ac:dyDescent="0.25">
      <c r="B61" s="163" t="s">
        <v>58</v>
      </c>
      <c r="C61" s="358"/>
      <c r="D61" s="358"/>
      <c r="E61" s="162" t="s">
        <v>58</v>
      </c>
      <c r="F61" s="358"/>
      <c r="G61" s="358"/>
      <c r="H61" s="358"/>
      <c r="I61" s="358"/>
      <c r="J61" s="358"/>
      <c r="K61" s="358"/>
      <c r="L61" s="394"/>
      <c r="AD61" s="388"/>
    </row>
    <row r="62" spans="2:30" x14ac:dyDescent="0.25">
      <c r="B62" s="380" t="s">
        <v>576</v>
      </c>
      <c r="C62" s="238">
        <f>'10_Distribucion_RRHH'!K77</f>
        <v>22</v>
      </c>
      <c r="D62" s="160">
        <f>C62*'13_Normas_Programacion'!$C$12</f>
        <v>264</v>
      </c>
      <c r="E62" s="1203">
        <f>'14_Produc_Rend_Cons_Cgia_10'!C19</f>
        <v>2043</v>
      </c>
      <c r="F62" s="1209">
        <f>IF(ISERROR(E62/SUM(D62:D64)),"",E62/SUM(D62:D64))</f>
        <v>7.7386363636363633</v>
      </c>
      <c r="G62" s="1209">
        <f>'14_Produc_Rend_Cons_Cgia_10'!F19</f>
        <v>2</v>
      </c>
      <c r="H62" s="1203">
        <f>IF(ISERROR(E62/G62),"",E62/G62)</f>
        <v>1021.5</v>
      </c>
      <c r="I62" s="1203">
        <f>SUM(D62:D64)</f>
        <v>264</v>
      </c>
      <c r="J62" s="1209">
        <f>IF(ISERROR(I62/H62),"",I62/H62)</f>
        <v>0.25844346549192365</v>
      </c>
      <c r="K62" s="1203">
        <f>IF(ISERROR(I62-H62),"",I62-H62)</f>
        <v>-757.5</v>
      </c>
      <c r="L62" s="1206">
        <f>IF(ISNUMBER(K62),K62/'13_Normas_Programacion'!$C$12,"")</f>
        <v>-63.125</v>
      </c>
      <c r="AD62" s="1205"/>
    </row>
    <row r="63" spans="2:30" x14ac:dyDescent="0.25">
      <c r="B63" s="380" t="s">
        <v>127</v>
      </c>
      <c r="C63" s="238">
        <f>'10_Distribucion_RRHH'!K79</f>
        <v>0</v>
      </c>
      <c r="D63" s="160">
        <f>C63*'[1]13. Normas Programación'!$C$12</f>
        <v>0</v>
      </c>
      <c r="E63" s="1208"/>
      <c r="F63" s="1210"/>
      <c r="G63" s="1210"/>
      <c r="H63" s="1208"/>
      <c r="I63" s="1208"/>
      <c r="J63" s="1210"/>
      <c r="K63" s="1208"/>
      <c r="L63" s="1207"/>
      <c r="AD63" s="1205"/>
    </row>
    <row r="64" spans="2:30" x14ac:dyDescent="0.25">
      <c r="B64" s="380" t="s">
        <v>126</v>
      </c>
      <c r="C64" s="238">
        <f>'10_Distribucion_RRHH'!K78</f>
        <v>0</v>
      </c>
      <c r="D64" s="160">
        <f>C64*'[1]13. Normas Programación'!$C$12</f>
        <v>0</v>
      </c>
      <c r="E64" s="299"/>
      <c r="F64" s="298"/>
      <c r="G64" s="298"/>
      <c r="H64" s="299"/>
      <c r="I64" s="297"/>
      <c r="J64" s="298"/>
      <c r="K64" s="297"/>
      <c r="L64" s="387"/>
      <c r="AD64" s="388"/>
    </row>
    <row r="65" spans="2:30" x14ac:dyDescent="0.25">
      <c r="B65" s="385" t="s">
        <v>291</v>
      </c>
      <c r="C65" s="301">
        <f>SUM(C62:C64)</f>
        <v>22</v>
      </c>
      <c r="D65" s="301">
        <f>SUM(D62:D64)</f>
        <v>264</v>
      </c>
      <c r="E65" s="357"/>
      <c r="F65" s="357"/>
      <c r="G65" s="357"/>
      <c r="H65" s="357"/>
      <c r="I65" s="357"/>
      <c r="J65" s="357"/>
      <c r="K65" s="357"/>
      <c r="L65" s="359"/>
      <c r="AD65" s="388"/>
    </row>
    <row r="66" spans="2:30" x14ac:dyDescent="0.25">
      <c r="B66" s="163" t="s">
        <v>167</v>
      </c>
      <c r="C66" s="358"/>
      <c r="D66" s="358"/>
      <c r="E66" s="358"/>
      <c r="F66" s="358"/>
      <c r="G66" s="358"/>
      <c r="H66" s="358"/>
      <c r="I66" s="358"/>
      <c r="J66" s="358"/>
      <c r="K66" s="358"/>
      <c r="L66" s="394"/>
      <c r="AD66" s="388"/>
    </row>
    <row r="67" spans="2:30" x14ac:dyDescent="0.25">
      <c r="B67" s="380" t="s">
        <v>576</v>
      </c>
      <c r="C67" s="1203">
        <f>SUM(C5,C7,C10,C11,C16,C17,C21,C22,C26,C27,C31,C32,C36,C37,C41,C42,C46,C47,C52,C53,C57,C58,C62,C63)</f>
        <v>4202</v>
      </c>
      <c r="D67" s="1203">
        <f>SUM(D5,D7,D10,D11,D16,D17,D21,D22,D26,D27,D31,D32,D36,D37,D41,D42,D46,D47,D52,D53,D57,D58,D62,D63)</f>
        <v>50424</v>
      </c>
      <c r="E67" s="357"/>
      <c r="F67" s="357"/>
      <c r="G67" s="357"/>
      <c r="H67" s="1203">
        <f>SUM(H5,H10,H16,H21,H26,H31,H36,H41,H46,H52,H57,H62)</f>
        <v>25969.25</v>
      </c>
      <c r="I67" s="1203">
        <f>SUM(I5,I10,I16,I21,I26,I31,I36,I41,I46,I52,I57,I62)</f>
        <v>45672</v>
      </c>
      <c r="J67" s="1209">
        <f>IF(ISERROR(I67/H67),"",I67/H67)</f>
        <v>1.7586953801130183</v>
      </c>
      <c r="K67" s="1203">
        <f>IF(ISERROR(I67-H67),"",I67-H67)</f>
        <v>19702.75</v>
      </c>
      <c r="L67" s="1206">
        <f>IF(ISNUMBER(K67),K67/'13_Normas_Programacion'!$C$12,"")</f>
        <v>1641.8958333333333</v>
      </c>
      <c r="AD67" s="388"/>
    </row>
    <row r="68" spans="2:30" x14ac:dyDescent="0.25">
      <c r="B68" s="380" t="s">
        <v>127</v>
      </c>
      <c r="C68" s="1208"/>
      <c r="D68" s="1208"/>
      <c r="E68" s="357"/>
      <c r="F68" s="357"/>
      <c r="G68" s="357"/>
      <c r="H68" s="1208"/>
      <c r="I68" s="1208"/>
      <c r="J68" s="1210"/>
      <c r="K68" s="1208"/>
      <c r="L68" s="1207"/>
      <c r="AD68" s="388"/>
    </row>
    <row r="69" spans="2:30" ht="15.75" thickBot="1" x14ac:dyDescent="0.3">
      <c r="B69" s="395" t="s">
        <v>126</v>
      </c>
      <c r="C69" s="341"/>
      <c r="D69" s="341"/>
      <c r="E69" s="396"/>
      <c r="F69" s="396"/>
      <c r="G69" s="396"/>
      <c r="H69" s="341"/>
      <c r="I69" s="341"/>
      <c r="J69" s="397"/>
      <c r="K69" s="398"/>
      <c r="L69" s="399"/>
      <c r="AD69" s="388"/>
    </row>
    <row r="70" spans="2:30" x14ac:dyDescent="0.25">
      <c r="AD70" s="142"/>
    </row>
    <row r="71" spans="2:30" x14ac:dyDescent="0.25">
      <c r="AD71" s="142"/>
    </row>
    <row r="72" spans="2:30" x14ac:dyDescent="0.25">
      <c r="AD72" s="142"/>
    </row>
    <row r="73" spans="2:30" x14ac:dyDescent="0.25">
      <c r="AD73" s="142"/>
    </row>
    <row r="74" spans="2:30" x14ac:dyDescent="0.25">
      <c r="AD74" s="142"/>
    </row>
    <row r="75" spans="2:30" x14ac:dyDescent="0.25">
      <c r="AD75" s="142"/>
    </row>
    <row r="76" spans="2:30" x14ac:dyDescent="0.25">
      <c r="AD76" s="142"/>
    </row>
    <row r="77" spans="2:30" x14ac:dyDescent="0.25">
      <c r="AD77" s="142"/>
    </row>
    <row r="78" spans="2:30" x14ac:dyDescent="0.25">
      <c r="AD78" s="142"/>
    </row>
    <row r="79" spans="2:30" x14ac:dyDescent="0.25">
      <c r="AD79" s="142"/>
    </row>
    <row r="80" spans="2:30" x14ac:dyDescent="0.25">
      <c r="AD80" s="142"/>
    </row>
    <row r="81" spans="30:30" x14ac:dyDescent="0.25">
      <c r="AD81" s="142"/>
    </row>
    <row r="82" spans="30:30" x14ac:dyDescent="0.25">
      <c r="AD82" s="142"/>
    </row>
    <row r="83" spans="30:30" x14ac:dyDescent="0.25">
      <c r="AD83" s="142"/>
    </row>
    <row r="84" spans="30:30" x14ac:dyDescent="0.25">
      <c r="AD84" s="142"/>
    </row>
    <row r="85" spans="30:30" x14ac:dyDescent="0.25">
      <c r="AD85" s="142"/>
    </row>
    <row r="86" spans="30:30" x14ac:dyDescent="0.25">
      <c r="AD86" s="142"/>
    </row>
    <row r="87" spans="30:30" x14ac:dyDescent="0.25">
      <c r="AD87" s="142"/>
    </row>
    <row r="88" spans="30:30" x14ac:dyDescent="0.25">
      <c r="AD88" s="142"/>
    </row>
    <row r="89" spans="30:30" x14ac:dyDescent="0.25">
      <c r="AD89" s="142"/>
    </row>
    <row r="90" spans="30:30" x14ac:dyDescent="0.25">
      <c r="AD90" s="142"/>
    </row>
    <row r="91" spans="30:30" x14ac:dyDescent="0.25">
      <c r="AD91" s="142"/>
    </row>
    <row r="92" spans="30:30" x14ac:dyDescent="0.25">
      <c r="AD92" s="142"/>
    </row>
    <row r="93" spans="30:30" x14ac:dyDescent="0.25">
      <c r="AD93" s="142"/>
    </row>
    <row r="94" spans="30:30" x14ac:dyDescent="0.25">
      <c r="AD94" s="142"/>
    </row>
    <row r="95" spans="30:30" x14ac:dyDescent="0.25">
      <c r="AD95" s="142"/>
    </row>
    <row r="96" spans="30:30" x14ac:dyDescent="0.25">
      <c r="AD96" s="142"/>
    </row>
    <row r="97" spans="30:30" x14ac:dyDescent="0.25">
      <c r="AD97" s="142"/>
    </row>
    <row r="98" spans="30:30" x14ac:dyDescent="0.25">
      <c r="AD98" s="142"/>
    </row>
    <row r="99" spans="30:30" x14ac:dyDescent="0.25">
      <c r="AD99" s="142"/>
    </row>
    <row r="100" spans="30:30" x14ac:dyDescent="0.25">
      <c r="AD100" s="142"/>
    </row>
    <row r="101" spans="30:30" x14ac:dyDescent="0.25">
      <c r="AD101" s="142"/>
    </row>
    <row r="102" spans="30:30" x14ac:dyDescent="0.25">
      <c r="AD102" s="142"/>
    </row>
    <row r="103" spans="30:30" x14ac:dyDescent="0.25">
      <c r="AD103" s="142"/>
    </row>
    <row r="104" spans="30:30" x14ac:dyDescent="0.25">
      <c r="AD104" s="142"/>
    </row>
    <row r="105" spans="30:30" x14ac:dyDescent="0.25">
      <c r="AD105" s="142"/>
    </row>
    <row r="106" spans="30:30" x14ac:dyDescent="0.25">
      <c r="AD106" s="142"/>
    </row>
    <row r="107" spans="30:30" x14ac:dyDescent="0.25">
      <c r="AD107" s="142"/>
    </row>
    <row r="108" spans="30:30" x14ac:dyDescent="0.25">
      <c r="AD108" s="142"/>
    </row>
    <row r="109" spans="30:30" x14ac:dyDescent="0.25">
      <c r="AD109" s="142"/>
    </row>
    <row r="110" spans="30:30" x14ac:dyDescent="0.25">
      <c r="AD110" s="142"/>
    </row>
    <row r="111" spans="30:30" x14ac:dyDescent="0.25">
      <c r="AD111" s="142"/>
    </row>
    <row r="112" spans="30:30" x14ac:dyDescent="0.25">
      <c r="AD112" s="142"/>
    </row>
    <row r="113" spans="30:30" x14ac:dyDescent="0.25">
      <c r="AD113" s="142"/>
    </row>
    <row r="114" spans="30:30" x14ac:dyDescent="0.25">
      <c r="AD114" s="142"/>
    </row>
    <row r="115" spans="30:30" x14ac:dyDescent="0.25">
      <c r="AD115" s="142"/>
    </row>
    <row r="116" spans="30:30" x14ac:dyDescent="0.25">
      <c r="AD116" s="142"/>
    </row>
    <row r="117" spans="30:30" x14ac:dyDescent="0.25">
      <c r="AD117" s="142"/>
    </row>
    <row r="118" spans="30:30" x14ac:dyDescent="0.25">
      <c r="AD118" s="142"/>
    </row>
    <row r="119" spans="30:30" x14ac:dyDescent="0.25">
      <c r="AD119" s="142"/>
    </row>
    <row r="120" spans="30:30" x14ac:dyDescent="0.25">
      <c r="AD120" s="142"/>
    </row>
    <row r="121" spans="30:30" x14ac:dyDescent="0.25">
      <c r="AD121" s="142"/>
    </row>
    <row r="122" spans="30:30" x14ac:dyDescent="0.25">
      <c r="AD122" s="142"/>
    </row>
    <row r="123" spans="30:30" x14ac:dyDescent="0.25">
      <c r="AD123" s="142"/>
    </row>
    <row r="124" spans="30:30" x14ac:dyDescent="0.25">
      <c r="AD124" s="142"/>
    </row>
    <row r="125" spans="30:30" x14ac:dyDescent="0.25">
      <c r="AD125" s="142"/>
    </row>
    <row r="126" spans="30:30" x14ac:dyDescent="0.25">
      <c r="AD126" s="142"/>
    </row>
    <row r="127" spans="30:30" x14ac:dyDescent="0.25">
      <c r="AD127" s="142"/>
    </row>
    <row r="128" spans="30:30" x14ac:dyDescent="0.25">
      <c r="AD128" s="142"/>
    </row>
    <row r="129" spans="30:30" x14ac:dyDescent="0.25">
      <c r="AD129" s="142"/>
    </row>
    <row r="130" spans="30:30" x14ac:dyDescent="0.25">
      <c r="AD130" s="142"/>
    </row>
    <row r="131" spans="30:30" x14ac:dyDescent="0.25">
      <c r="AD131" s="142"/>
    </row>
    <row r="132" spans="30:30" x14ac:dyDescent="0.25">
      <c r="AD132" s="142"/>
    </row>
    <row r="133" spans="30:30" x14ac:dyDescent="0.25">
      <c r="AD133" s="142"/>
    </row>
    <row r="134" spans="30:30" x14ac:dyDescent="0.25">
      <c r="AD134" s="142"/>
    </row>
    <row r="135" spans="30:30" x14ac:dyDescent="0.25">
      <c r="AD135" s="142"/>
    </row>
    <row r="136" spans="30:30" x14ac:dyDescent="0.25">
      <c r="AD136" s="142"/>
    </row>
  </sheetData>
  <sheetProtection password="EADF" sheet="1"/>
  <mergeCells count="123">
    <mergeCell ref="L5:L6"/>
    <mergeCell ref="B1:L1"/>
    <mergeCell ref="E10:E11"/>
    <mergeCell ref="F10:F11"/>
    <mergeCell ref="G10:G11"/>
    <mergeCell ref="H10:H11"/>
    <mergeCell ref="I10:I11"/>
    <mergeCell ref="J10:J11"/>
    <mergeCell ref="K10:K11"/>
    <mergeCell ref="B2:B3"/>
    <mergeCell ref="L10:L11"/>
    <mergeCell ref="H2:J2"/>
    <mergeCell ref="I5:I6"/>
    <mergeCell ref="J5:J6"/>
    <mergeCell ref="K2:L2"/>
    <mergeCell ref="E5:E6"/>
    <mergeCell ref="F5:F6"/>
    <mergeCell ref="G5:G6"/>
    <mergeCell ref="H5:H6"/>
    <mergeCell ref="K5:K6"/>
    <mergeCell ref="C2:C3"/>
    <mergeCell ref="D2:D3"/>
    <mergeCell ref="E2:E3"/>
    <mergeCell ref="F2:F3"/>
    <mergeCell ref="G2:G3"/>
    <mergeCell ref="K16:K17"/>
    <mergeCell ref="F16:F17"/>
    <mergeCell ref="G16:G17"/>
    <mergeCell ref="H16:H17"/>
    <mergeCell ref="I16:I17"/>
    <mergeCell ref="E36:E37"/>
    <mergeCell ref="H36:H37"/>
    <mergeCell ref="I36:I37"/>
    <mergeCell ref="J16:J17"/>
    <mergeCell ref="L26:L27"/>
    <mergeCell ref="E31:E32"/>
    <mergeCell ref="H31:H32"/>
    <mergeCell ref="I31:I32"/>
    <mergeCell ref="K31:K32"/>
    <mergeCell ref="L31:L32"/>
    <mergeCell ref="E26:E27"/>
    <mergeCell ref="H26:H27"/>
    <mergeCell ref="I26:I27"/>
    <mergeCell ref="L16:L17"/>
    <mergeCell ref="E21:E22"/>
    <mergeCell ref="F21:F22"/>
    <mergeCell ref="G21:G22"/>
    <mergeCell ref="J21:J22"/>
    <mergeCell ref="H21:H22"/>
    <mergeCell ref="I21:I22"/>
    <mergeCell ref="K21:K22"/>
    <mergeCell ref="L21:L22"/>
    <mergeCell ref="E16:E17"/>
    <mergeCell ref="G41:G42"/>
    <mergeCell ref="F41:F42"/>
    <mergeCell ref="G46:G47"/>
    <mergeCell ref="E57:E58"/>
    <mergeCell ref="E62:E63"/>
    <mergeCell ref="H62:H63"/>
    <mergeCell ref="I62:I63"/>
    <mergeCell ref="F57:F58"/>
    <mergeCell ref="F62:F63"/>
    <mergeCell ref="G62:G63"/>
    <mergeCell ref="G57:G58"/>
    <mergeCell ref="E46:E47"/>
    <mergeCell ref="E52:E53"/>
    <mergeCell ref="H52:H53"/>
    <mergeCell ref="I52:I53"/>
    <mergeCell ref="F52:F53"/>
    <mergeCell ref="G52:G53"/>
    <mergeCell ref="H46:H47"/>
    <mergeCell ref="I46:I47"/>
    <mergeCell ref="F46:F47"/>
    <mergeCell ref="E41:E42"/>
    <mergeCell ref="H41:H42"/>
    <mergeCell ref="I41:I42"/>
    <mergeCell ref="F26:F27"/>
    <mergeCell ref="G26:G27"/>
    <mergeCell ref="J26:J27"/>
    <mergeCell ref="J31:J32"/>
    <mergeCell ref="G31:G32"/>
    <mergeCell ref="F31:F32"/>
    <mergeCell ref="F36:F37"/>
    <mergeCell ref="G36:G37"/>
    <mergeCell ref="J36:J37"/>
    <mergeCell ref="L67:L68"/>
    <mergeCell ref="K67:K68"/>
    <mergeCell ref="I67:I68"/>
    <mergeCell ref="K62:K63"/>
    <mergeCell ref="L62:L63"/>
    <mergeCell ref="J62:J63"/>
    <mergeCell ref="H67:H68"/>
    <mergeCell ref="D67:D68"/>
    <mergeCell ref="C67:C68"/>
    <mergeCell ref="J67:J68"/>
    <mergeCell ref="I57:I58"/>
    <mergeCell ref="H57:H58"/>
    <mergeCell ref="J46:J47"/>
    <mergeCell ref="AD41:AD42"/>
    <mergeCell ref="AD46:AD47"/>
    <mergeCell ref="L46:L47"/>
    <mergeCell ref="K46:K47"/>
    <mergeCell ref="AD62:AD63"/>
    <mergeCell ref="J52:J53"/>
    <mergeCell ref="J57:J58"/>
    <mergeCell ref="AD52:AD53"/>
    <mergeCell ref="AD57:AD58"/>
    <mergeCell ref="J41:J42"/>
    <mergeCell ref="K41:K42"/>
    <mergeCell ref="L41:L42"/>
    <mergeCell ref="AD10:AD11"/>
    <mergeCell ref="AD16:AD17"/>
    <mergeCell ref="AD21:AD22"/>
    <mergeCell ref="AD26:AD27"/>
    <mergeCell ref="AD31:AD32"/>
    <mergeCell ref="AD36:AD37"/>
    <mergeCell ref="L57:L58"/>
    <mergeCell ref="K57:K58"/>
    <mergeCell ref="K52:K53"/>
    <mergeCell ref="L52:L53"/>
    <mergeCell ref="K36:K37"/>
    <mergeCell ref="K26:K27"/>
    <mergeCell ref="L36:L37"/>
  </mergeCells>
  <phoneticPr fontId="60" type="noConversion"/>
  <pageMargins left="0.70866141732283472" right="0.70866141732283472" top="0.74803149606299213" bottom="0.74803149606299213" header="0.31496062992125984" footer="0.31496062992125984"/>
  <pageSetup scale="79" orientation="landscape" horizontalDpi="4294967293" r:id="rId1"/>
  <rowBreaks count="1" manualBreakCount="1">
    <brk id="34" max="11" man="1"/>
  </rowBreaks>
  <colBreaks count="2" manualBreakCount="2">
    <brk id="12" max="1048575" man="1"/>
    <brk id="1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topLeftCell="A5" workbookViewId="0">
      <selection activeCell="C25" sqref="C25"/>
    </sheetView>
  </sheetViews>
  <sheetFormatPr baseColWidth="10" defaultRowHeight="12.75" x14ac:dyDescent="0.2"/>
  <cols>
    <col min="1" max="1" width="23.28515625" style="62" customWidth="1"/>
    <col min="2" max="2" width="7.5703125" style="62" customWidth="1"/>
    <col min="3" max="3" width="94.42578125" style="62" customWidth="1"/>
    <col min="4" max="16384" width="11.42578125" style="62"/>
  </cols>
  <sheetData>
    <row r="1" spans="1:3" ht="20.25" x14ac:dyDescent="0.2">
      <c r="A1" s="1119" t="s">
        <v>674</v>
      </c>
      <c r="B1" s="1119"/>
      <c r="C1" s="1119"/>
    </row>
    <row r="2" spans="1:3" ht="20.25" x14ac:dyDescent="0.2">
      <c r="A2" s="1119" t="s">
        <v>405</v>
      </c>
      <c r="B2" s="1119"/>
      <c r="C2" s="1119"/>
    </row>
    <row r="3" spans="1:3" ht="15.75" x14ac:dyDescent="0.2">
      <c r="A3" s="1120" t="s">
        <v>407</v>
      </c>
      <c r="B3" s="1120"/>
      <c r="C3" s="1120"/>
    </row>
    <row r="4" spans="1:3" x14ac:dyDescent="0.2">
      <c r="A4" s="63"/>
      <c r="B4" s="64"/>
      <c r="C4" s="65"/>
    </row>
    <row r="5" spans="1:3" x14ac:dyDescent="0.2">
      <c r="A5" s="1121" t="s">
        <v>687</v>
      </c>
      <c r="B5" s="1122"/>
      <c r="C5" s="1122"/>
    </row>
    <row r="6" spans="1:3" ht="13.5" thickBot="1" x14ac:dyDescent="0.25">
      <c r="A6" s="66"/>
      <c r="B6" s="67"/>
      <c r="C6" s="67"/>
    </row>
    <row r="7" spans="1:3" ht="15.75" thickBot="1" x14ac:dyDescent="0.25">
      <c r="A7" s="1115" t="s">
        <v>417</v>
      </c>
      <c r="B7" s="1116"/>
      <c r="C7" s="211" t="str">
        <f>'A-Informacion_General'!C7:H7</f>
        <v>Hospital Nacional de Metapán "Arturo Morales"</v>
      </c>
    </row>
    <row r="8" spans="1:3" ht="38.25" x14ac:dyDescent="0.2">
      <c r="A8" s="1117" t="s">
        <v>418</v>
      </c>
      <c r="B8" s="1118"/>
      <c r="C8" s="1084" t="s">
        <v>809</v>
      </c>
    </row>
    <row r="9" spans="1:3" ht="38.25" x14ac:dyDescent="0.2">
      <c r="A9" s="1117" t="s">
        <v>419</v>
      </c>
      <c r="B9" s="1118"/>
      <c r="C9" s="571" t="s">
        <v>810</v>
      </c>
    </row>
    <row r="10" spans="1:3" ht="25.5" x14ac:dyDescent="0.2">
      <c r="A10" s="68" t="s">
        <v>420</v>
      </c>
      <c r="B10" s="69">
        <v>1</v>
      </c>
      <c r="C10" s="70" t="s">
        <v>818</v>
      </c>
    </row>
    <row r="11" spans="1:3" x14ac:dyDescent="0.2">
      <c r="A11" s="1123" t="s">
        <v>421</v>
      </c>
      <c r="B11" s="69">
        <v>1</v>
      </c>
      <c r="C11" s="1087" t="s">
        <v>815</v>
      </c>
    </row>
    <row r="12" spans="1:3" x14ac:dyDescent="0.2">
      <c r="A12" s="1123"/>
      <c r="B12" s="69">
        <v>2</v>
      </c>
      <c r="C12" s="1087" t="s">
        <v>814</v>
      </c>
    </row>
    <row r="13" spans="1:3" x14ac:dyDescent="0.2">
      <c r="A13" s="1123"/>
      <c r="B13" s="69">
        <v>3</v>
      </c>
      <c r="C13" s="1087" t="s">
        <v>816</v>
      </c>
    </row>
    <row r="14" spans="1:3" x14ac:dyDescent="0.2">
      <c r="A14" s="1123"/>
      <c r="B14" s="69">
        <v>4</v>
      </c>
      <c r="C14" s="1087" t="s">
        <v>879</v>
      </c>
    </row>
    <row r="15" spans="1:3" x14ac:dyDescent="0.2">
      <c r="A15" s="1123"/>
      <c r="B15" s="69">
        <v>5</v>
      </c>
      <c r="C15" s="70"/>
    </row>
    <row r="16" spans="1:3" ht="13.5" thickBot="1" x14ac:dyDescent="0.25">
      <c r="A16" s="1124"/>
      <c r="B16" s="71">
        <v>7</v>
      </c>
      <c r="C16" s="1087"/>
    </row>
    <row r="17" spans="1:3" x14ac:dyDescent="0.2">
      <c r="A17" s="1111" t="s">
        <v>584</v>
      </c>
      <c r="B17" s="73">
        <v>1</v>
      </c>
      <c r="C17" s="70" t="s">
        <v>872</v>
      </c>
    </row>
    <row r="18" spans="1:3" x14ac:dyDescent="0.2">
      <c r="A18" s="1112"/>
      <c r="B18" s="73">
        <v>2</v>
      </c>
      <c r="C18" s="70" t="s">
        <v>873</v>
      </c>
    </row>
    <row r="19" spans="1:3" x14ac:dyDescent="0.2">
      <c r="A19" s="1112"/>
      <c r="B19" s="73">
        <v>3</v>
      </c>
      <c r="C19" s="70" t="s">
        <v>874</v>
      </c>
    </row>
    <row r="20" spans="1:3" x14ac:dyDescent="0.2">
      <c r="A20" s="1112"/>
      <c r="B20" s="73">
        <v>4</v>
      </c>
      <c r="C20" s="70" t="s">
        <v>875</v>
      </c>
    </row>
    <row r="21" spans="1:3" x14ac:dyDescent="0.2">
      <c r="A21" s="1112"/>
      <c r="B21" s="73">
        <v>5</v>
      </c>
      <c r="C21" s="70" t="s">
        <v>876</v>
      </c>
    </row>
    <row r="22" spans="1:3" x14ac:dyDescent="0.2">
      <c r="A22" s="1112"/>
      <c r="B22" s="74">
        <v>7</v>
      </c>
      <c r="C22" s="1087" t="s">
        <v>877</v>
      </c>
    </row>
    <row r="23" spans="1:3" x14ac:dyDescent="0.2">
      <c r="A23" s="1112"/>
      <c r="B23" s="73">
        <v>9</v>
      </c>
      <c r="C23" s="70"/>
    </row>
    <row r="24" spans="1:3" ht="13.5" thickBot="1" x14ac:dyDescent="0.25">
      <c r="A24" s="1113"/>
      <c r="B24" s="71">
        <v>10</v>
      </c>
      <c r="C24" s="72"/>
    </row>
    <row r="26" spans="1:3" x14ac:dyDescent="0.2">
      <c r="A26" s="1114" t="s">
        <v>422</v>
      </c>
      <c r="B26" s="1114"/>
      <c r="C26" s="1114"/>
    </row>
  </sheetData>
  <sheetProtection password="EADF" sheet="1" objects="1" scenarios="1"/>
  <protectedRanges>
    <protectedRange sqref="C7:C24" name="Rango1"/>
  </protectedRanges>
  <mergeCells count="10">
    <mergeCell ref="A17:A24"/>
    <mergeCell ref="A26:C26"/>
    <mergeCell ref="A7:B7"/>
    <mergeCell ref="A8:B8"/>
    <mergeCell ref="A1:C1"/>
    <mergeCell ref="A2:C2"/>
    <mergeCell ref="A3:C3"/>
    <mergeCell ref="A5:C5"/>
    <mergeCell ref="A9:B9"/>
    <mergeCell ref="A11:A16"/>
  </mergeCells>
  <phoneticPr fontId="60" type="noConversion"/>
  <printOptions horizontalCentered="1"/>
  <pageMargins left="0.27559055118110237" right="0.23622047244094491" top="0.43307086614173229" bottom="0.39370078740157483" header="0.19685039370078741" footer="0.19685039370078741"/>
  <pageSetup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9"/>
  <sheetViews>
    <sheetView view="pageBreakPreview" zoomScale="84" zoomScaleNormal="110" zoomScaleSheetLayoutView="84" workbookViewId="0">
      <selection activeCell="G24" sqref="G24"/>
    </sheetView>
  </sheetViews>
  <sheetFormatPr baseColWidth="10" defaultRowHeight="15" x14ac:dyDescent="0.25"/>
  <cols>
    <col min="1" max="1" width="3.5703125" style="681" customWidth="1"/>
    <col min="2" max="2" width="38.7109375" style="681" customWidth="1"/>
    <col min="3" max="3" width="11.5703125" style="681" customWidth="1"/>
    <col min="4" max="5" width="11.42578125" style="681"/>
    <col min="6" max="6" width="13.140625" style="681" customWidth="1"/>
    <col min="7" max="7" width="12.5703125" style="681" customWidth="1"/>
    <col min="8" max="8" width="11.42578125" style="681"/>
    <col min="9" max="16" width="10.85546875" style="681" customWidth="1"/>
    <col min="17" max="16384" width="11.42578125" style="681"/>
  </cols>
  <sheetData>
    <row r="1" spans="2:8" s="719" customFormat="1" x14ac:dyDescent="0.25">
      <c r="B1" s="758" t="s">
        <v>52</v>
      </c>
    </row>
    <row r="2" spans="2:8" ht="15.75" thickBot="1" x14ac:dyDescent="0.3">
      <c r="B2" s="166"/>
    </row>
    <row r="3" spans="2:8" ht="81.75" customHeight="1" x14ac:dyDescent="0.25">
      <c r="B3" s="365" t="s">
        <v>703</v>
      </c>
      <c r="C3" s="366" t="s">
        <v>99</v>
      </c>
      <c r="D3" s="366" t="s">
        <v>112</v>
      </c>
      <c r="E3" s="366" t="s">
        <v>295</v>
      </c>
      <c r="F3" s="366" t="s">
        <v>671</v>
      </c>
      <c r="G3" s="366" t="s">
        <v>296</v>
      </c>
      <c r="H3" s="759" t="s">
        <v>670</v>
      </c>
    </row>
    <row r="4" spans="2:8" s="679" customFormat="1" ht="19.5" customHeight="1" x14ac:dyDescent="0.25">
      <c r="B4" s="243" t="s">
        <v>61</v>
      </c>
      <c r="C4" s="760"/>
      <c r="D4" s="760"/>
      <c r="E4" s="760"/>
      <c r="F4" s="760"/>
      <c r="G4" s="761"/>
      <c r="H4" s="762"/>
    </row>
    <row r="5" spans="2:8" ht="19.5" customHeight="1" x14ac:dyDescent="0.25">
      <c r="B5" s="763" t="s">
        <v>242</v>
      </c>
      <c r="C5" s="764">
        <f>'5_Produccion_Desagregada_10_09'!E5</f>
        <v>34282</v>
      </c>
      <c r="D5" s="764">
        <f>'5_Produccion_Desagregada_10_09'!C5</f>
        <v>19963</v>
      </c>
      <c r="E5" s="765">
        <f>IF(ISERROR(D5/C5-1),"",(D5/C5-1))</f>
        <v>-0.41768274896447111</v>
      </c>
      <c r="F5" s="766">
        <f>'16. Produc Rend Scio MD 10'!J4</f>
        <v>0</v>
      </c>
      <c r="G5" s="144">
        <v>24000</v>
      </c>
      <c r="H5" s="767">
        <f>IF(ISERROR($G5/D5-1),"",$G5/D5-1)</f>
        <v>0.20222411461203227</v>
      </c>
    </row>
    <row r="6" spans="2:8" ht="19.5" customHeight="1" x14ac:dyDescent="0.25">
      <c r="B6" s="763" t="s">
        <v>243</v>
      </c>
      <c r="C6" s="764">
        <f>'5_Produccion_Desagregada_10_09'!E6</f>
        <v>20001</v>
      </c>
      <c r="D6" s="764">
        <f>'5_Produccion_Desagregada_10_09'!C6</f>
        <v>32189</v>
      </c>
      <c r="E6" s="607">
        <f>IF(ISERROR(D6/C6-1),"",(D6/C6-1))</f>
        <v>0.60936953152342377</v>
      </c>
      <c r="F6" s="768">
        <f>'16. Produc Rend Scio MD 10'!J5</f>
        <v>1.1810245736121034</v>
      </c>
      <c r="G6" s="144">
        <v>34000</v>
      </c>
      <c r="H6" s="767">
        <f>IF(ISERROR($G6/D6-1),"",$G6/D6-1)</f>
        <v>5.6261455776818181E-2</v>
      </c>
    </row>
    <row r="7" spans="2:8" ht="19.5" customHeight="1" x14ac:dyDescent="0.25">
      <c r="B7" s="763" t="s">
        <v>244</v>
      </c>
      <c r="C7" s="764">
        <f>'5_Produccion_Desagregada_10_09'!E7</f>
        <v>13678</v>
      </c>
      <c r="D7" s="764">
        <f>'5_Produccion_Desagregada_10_09'!C7</f>
        <v>20591</v>
      </c>
      <c r="E7" s="607">
        <f>IF(ISERROR(D7/C7-1),"",(D7/C7-1))</f>
        <v>0.50541014768240977</v>
      </c>
      <c r="F7" s="768">
        <f>'16. Produc Rend Scio MD 10'!J10</f>
        <v>1.743674420863484</v>
      </c>
      <c r="G7" s="144">
        <v>14000</v>
      </c>
      <c r="H7" s="767">
        <f>IF(ISERROR($G7/D7-1),"",$G7/D7-1)</f>
        <v>-0.32009130202515668</v>
      </c>
    </row>
    <row r="8" spans="2:8" ht="19.5" customHeight="1" x14ac:dyDescent="0.25">
      <c r="B8" s="769" t="s">
        <v>627</v>
      </c>
      <c r="C8" s="783">
        <f>IF(ISERROR(C7/SUM(C5:C7)),"",C7/SUM(C5:C7))</f>
        <v>0.2012624887803299</v>
      </c>
      <c r="D8" s="783">
        <f>IF(ISERROR(D7/SUM(D5:D7)),"",D7/SUM(D5:D7))</f>
        <v>0.28306503718570858</v>
      </c>
      <c r="E8" s="780">
        <f t="shared" ref="E8:E17" si="0">IF(ISERROR(D8/C8-1),"",(D8/C8-1))</f>
        <v>0.40644706771296546</v>
      </c>
      <c r="F8" s="781"/>
      <c r="G8" s="783">
        <f>IF(ISERROR(G7/SUM(G5:G7)),"",G7/SUM(G5:G7))</f>
        <v>0.19444444444444445</v>
      </c>
      <c r="H8" s="784"/>
    </row>
    <row r="9" spans="2:8" s="679" customFormat="1" ht="19.5" customHeight="1" x14ac:dyDescent="0.25">
      <c r="B9" s="243" t="s">
        <v>294</v>
      </c>
      <c r="C9" s="760"/>
      <c r="D9" s="760"/>
      <c r="E9" s="760"/>
      <c r="F9" s="770"/>
      <c r="G9" s="761"/>
      <c r="H9" s="762"/>
    </row>
    <row r="10" spans="2:8" ht="19.5" customHeight="1" x14ac:dyDescent="0.25">
      <c r="B10" s="763" t="s">
        <v>41</v>
      </c>
      <c r="C10" s="764">
        <f>'5_Produccion_Desagregada_10_09'!E10</f>
        <v>875</v>
      </c>
      <c r="D10" s="764">
        <f>'5_Produccion_Desagregada_10_09'!C10</f>
        <v>1341</v>
      </c>
      <c r="E10" s="765">
        <f t="shared" si="0"/>
        <v>0.53257142857142847</v>
      </c>
      <c r="F10" s="766">
        <f>'16. Produc Rend Scio MD 10'!J16</f>
        <v>2.537546557731587</v>
      </c>
      <c r="G10" s="144">
        <v>1250</v>
      </c>
      <c r="H10" s="767">
        <f t="shared" ref="H10:H17" si="1">IF(ISERROR($G10/D10-1),"",$G10/D10-1)</f>
        <v>-6.785980611483966E-2</v>
      </c>
    </row>
    <row r="11" spans="2:8" ht="19.5" customHeight="1" x14ac:dyDescent="0.25">
      <c r="B11" s="763" t="s">
        <v>42</v>
      </c>
      <c r="C11" s="764">
        <f>'5_Produccion_Desagregada_10_09'!E11</f>
        <v>907</v>
      </c>
      <c r="D11" s="764">
        <f>'5_Produccion_Desagregada_10_09'!C11</f>
        <v>1026</v>
      </c>
      <c r="E11" s="765">
        <f t="shared" si="0"/>
        <v>0.13120176405733197</v>
      </c>
      <c r="F11" s="766">
        <f>'16. Produc Rend Scio MD 10'!J21</f>
        <v>1.0195862068965518</v>
      </c>
      <c r="G11" s="144">
        <v>1000</v>
      </c>
      <c r="H11" s="767">
        <f t="shared" si="1"/>
        <v>-2.5341130604288553E-2</v>
      </c>
    </row>
    <row r="12" spans="2:8" ht="19.5" customHeight="1" x14ac:dyDescent="0.25">
      <c r="B12" s="763" t="s">
        <v>43</v>
      </c>
      <c r="C12" s="764">
        <f>'5_Produccion_Desagregada_10_09'!E12</f>
        <v>501</v>
      </c>
      <c r="D12" s="764">
        <f>'5_Produccion_Desagregada_10_09'!C12</f>
        <v>423</v>
      </c>
      <c r="E12" s="765">
        <f t="shared" si="0"/>
        <v>-0.15568862275449102</v>
      </c>
      <c r="F12" s="766">
        <f>'16. Produc Rend Scio MD 10'!J26</f>
        <v>0</v>
      </c>
      <c r="G12" s="144">
        <v>450</v>
      </c>
      <c r="H12" s="767">
        <f t="shared" si="1"/>
        <v>6.3829787234042534E-2</v>
      </c>
    </row>
    <row r="13" spans="2:8" ht="19.5" customHeight="1" x14ac:dyDescent="0.25">
      <c r="B13" s="763" t="s">
        <v>44</v>
      </c>
      <c r="C13" s="764">
        <f>'5_Produccion_Desagregada_10_09'!E13</f>
        <v>1537</v>
      </c>
      <c r="D13" s="764">
        <f>'5_Produccion_Desagregada_10_09'!C13</f>
        <v>1452</v>
      </c>
      <c r="E13" s="765">
        <f t="shared" si="0"/>
        <v>-5.5302537410540031E-2</v>
      </c>
      <c r="F13" s="766">
        <f>'16. Produc Rend Scio MD 10'!J31</f>
        <v>0</v>
      </c>
      <c r="G13" s="733">
        <v>1500</v>
      </c>
      <c r="H13" s="767">
        <f t="shared" si="1"/>
        <v>3.3057851239669311E-2</v>
      </c>
    </row>
    <row r="14" spans="2:8" ht="19.5" customHeight="1" x14ac:dyDescent="0.25">
      <c r="B14" s="763" t="s">
        <v>45</v>
      </c>
      <c r="C14" s="764">
        <f>'5_Produccion_Desagregada_10_09'!E14</f>
        <v>1017</v>
      </c>
      <c r="D14" s="764">
        <f>'5_Produccion_Desagregada_10_09'!C14</f>
        <v>1330</v>
      </c>
      <c r="E14" s="765">
        <f t="shared" si="0"/>
        <v>0.30776794493608661</v>
      </c>
      <c r="F14" s="766">
        <f>'16. Produc Rend Scio MD 10'!J36</f>
        <v>3.1927437641723357</v>
      </c>
      <c r="G14" s="144">
        <v>1250</v>
      </c>
      <c r="H14" s="767">
        <f t="shared" si="1"/>
        <v>-6.0150375939849621E-2</v>
      </c>
    </row>
    <row r="15" spans="2:8" ht="19.5" customHeight="1" x14ac:dyDescent="0.25">
      <c r="B15" s="763" t="s">
        <v>46</v>
      </c>
      <c r="C15" s="764">
        <f>'5_Produccion_Desagregada_10_09'!E15</f>
        <v>286</v>
      </c>
      <c r="D15" s="764">
        <f>'5_Produccion_Desagregada_10_09'!C15</f>
        <v>353</v>
      </c>
      <c r="E15" s="765">
        <f t="shared" si="0"/>
        <v>0.23426573426573416</v>
      </c>
      <c r="F15" s="766">
        <f>'16. Produc Rend Scio MD 10'!J41</f>
        <v>2.4197983501374885</v>
      </c>
      <c r="G15" s="733">
        <v>300</v>
      </c>
      <c r="H15" s="767">
        <f t="shared" si="1"/>
        <v>-0.15014164305949007</v>
      </c>
    </row>
    <row r="16" spans="2:8" ht="19.5" customHeight="1" x14ac:dyDescent="0.25">
      <c r="B16" s="763" t="s">
        <v>59</v>
      </c>
      <c r="C16" s="764">
        <f>'5_Produccion_Desagregada_10_09'!E16</f>
        <v>0</v>
      </c>
      <c r="D16" s="764">
        <f>'5_Produccion_Desagregada_10_09'!C16</f>
        <v>0</v>
      </c>
      <c r="E16" s="765" t="str">
        <f t="shared" si="0"/>
        <v/>
      </c>
      <c r="F16" s="766" t="str">
        <f>'16. Produc Rend Scio MD 10'!J46</f>
        <v/>
      </c>
      <c r="G16" s="144"/>
      <c r="H16" s="767" t="str">
        <f t="shared" si="1"/>
        <v/>
      </c>
    </row>
    <row r="17" spans="2:8" ht="19.5" customHeight="1" x14ac:dyDescent="0.25">
      <c r="B17" s="372" t="s">
        <v>49</v>
      </c>
      <c r="C17" s="779">
        <f>SUM(C10:C16)</f>
        <v>5123</v>
      </c>
      <c r="D17" s="779">
        <f>SUM(D10:D16)</f>
        <v>5925</v>
      </c>
      <c r="E17" s="780">
        <f t="shared" si="0"/>
        <v>0.15654889713058751</v>
      </c>
      <c r="F17" s="781"/>
      <c r="G17" s="374">
        <f>SUM(G10:G16)</f>
        <v>5750</v>
      </c>
      <c r="H17" s="782">
        <f t="shared" si="1"/>
        <v>-2.9535864978902926E-2</v>
      </c>
    </row>
    <row r="18" spans="2:8" ht="19.5" customHeight="1" x14ac:dyDescent="0.25">
      <c r="B18" s="243" t="s">
        <v>370</v>
      </c>
      <c r="C18" s="760"/>
      <c r="D18" s="760"/>
      <c r="E18" s="760"/>
      <c r="F18" s="770"/>
      <c r="G18" s="373"/>
      <c r="H18" s="762"/>
    </row>
    <row r="19" spans="2:8" ht="19.5" customHeight="1" x14ac:dyDescent="0.25">
      <c r="B19" s="763" t="s">
        <v>371</v>
      </c>
      <c r="C19" s="764">
        <f>'5_Produccion_Desagregada_10_09'!E20</f>
        <v>812</v>
      </c>
      <c r="D19" s="764">
        <f>'5_Produccion_Desagregada_10_09'!C20</f>
        <v>874</v>
      </c>
      <c r="E19" s="765">
        <f>IF(ISERROR(D19/C19-1),"",(D19/C19-1))</f>
        <v>7.6354679802955738E-2</v>
      </c>
      <c r="F19" s="766"/>
      <c r="G19" s="117">
        <v>850</v>
      </c>
      <c r="H19" s="767">
        <f>IF(ISERROR($G19/D19-1),"",$G19/D19-1)</f>
        <v>-2.7459954233409634E-2</v>
      </c>
    </row>
    <row r="20" spans="2:8" ht="19.5" customHeight="1" x14ac:dyDescent="0.25">
      <c r="B20" s="763" t="s">
        <v>50</v>
      </c>
      <c r="C20" s="764">
        <f>'5_Produccion_Desagregada_10_09'!E21</f>
        <v>261</v>
      </c>
      <c r="D20" s="764">
        <f>'5_Produccion_Desagregada_10_09'!C21</f>
        <v>223</v>
      </c>
      <c r="E20" s="765">
        <f>IF(ISERROR(D20/C20-1),"",(D20/C20-1))</f>
        <v>-0.14559386973180077</v>
      </c>
      <c r="F20" s="766"/>
      <c r="G20" s="117">
        <v>225</v>
      </c>
      <c r="H20" s="767">
        <f>IF(ISERROR($G20/D20-1),"",$G20/D20-1)</f>
        <v>8.9686098654708779E-3</v>
      </c>
    </row>
    <row r="21" spans="2:8" s="679" customFormat="1" ht="19.5" customHeight="1" x14ac:dyDescent="0.25">
      <c r="B21" s="372" t="s">
        <v>236</v>
      </c>
      <c r="C21" s="374">
        <f>SUM(C19:C20)</f>
        <v>1073</v>
      </c>
      <c r="D21" s="374">
        <f>SUM(D19:D20)</f>
        <v>1097</v>
      </c>
      <c r="E21" s="780">
        <f>IF(ISERROR(D21/C21-1),"",(D21/C21-1))</f>
        <v>2.2367194780987809E-2</v>
      </c>
      <c r="F21" s="376">
        <f>'16. Produc Rend Scio MD 10'!J62</f>
        <v>0.25844346549192365</v>
      </c>
      <c r="G21" s="374">
        <f>SUM(G19:G20)</f>
        <v>1075</v>
      </c>
      <c r="H21" s="782">
        <f>IF(ISERROR($G21/D21-1),"",$G21/D21-1)</f>
        <v>-2.0054694621695512E-2</v>
      </c>
    </row>
    <row r="22" spans="2:8" s="679" customFormat="1" ht="19.5" customHeight="1" x14ac:dyDescent="0.25">
      <c r="B22" s="243" t="s">
        <v>62</v>
      </c>
      <c r="C22" s="760"/>
      <c r="D22" s="760"/>
      <c r="E22" s="760"/>
      <c r="F22" s="770"/>
      <c r="G22" s="761"/>
      <c r="H22" s="762"/>
    </row>
    <row r="23" spans="2:8" ht="19.5" customHeight="1" x14ac:dyDescent="0.25">
      <c r="B23" s="763" t="s">
        <v>53</v>
      </c>
      <c r="C23" s="764">
        <f>'5_Produccion_Desagregada_10_09'!E24</f>
        <v>299</v>
      </c>
      <c r="D23" s="764">
        <f>'5_Produccion_Desagregada_10_09'!C24</f>
        <v>815</v>
      </c>
      <c r="E23" s="765">
        <f>IF(ISERROR(D23/C23-1),"",(D23/C23-1))</f>
        <v>1.7257525083612042</v>
      </c>
      <c r="F23" s="766"/>
      <c r="G23" s="144">
        <v>600</v>
      </c>
      <c r="H23" s="767">
        <f>IF(ISERROR($G23/D23-1),"",$G23/D23-1)</f>
        <v>-0.26380368098159512</v>
      </c>
    </row>
    <row r="24" spans="2:8" ht="19.5" customHeight="1" x14ac:dyDescent="0.25">
      <c r="B24" s="763" t="s">
        <v>54</v>
      </c>
      <c r="C24" s="764">
        <f>'5_Produccion_Desagregada_10_09'!E25</f>
        <v>3</v>
      </c>
      <c r="D24" s="764">
        <f>'5_Produccion_Desagregada_10_09'!C25</f>
        <v>51</v>
      </c>
      <c r="E24" s="765">
        <f>IF(ISERROR(D24/C24-1),"",(D24/C24-1))</f>
        <v>16</v>
      </c>
      <c r="F24" s="766"/>
      <c r="G24" s="144">
        <v>50</v>
      </c>
      <c r="H24" s="767">
        <f>IF(ISERROR($G24/D24-1),"",$G24/D24-1)</f>
        <v>-1.9607843137254943E-2</v>
      </c>
    </row>
    <row r="25" spans="2:8" ht="19.5" customHeight="1" x14ac:dyDescent="0.25">
      <c r="B25" s="763" t="s">
        <v>55</v>
      </c>
      <c r="C25" s="764">
        <f>'5_Produccion_Desagregada_10_09'!E26</f>
        <v>599</v>
      </c>
      <c r="D25" s="764">
        <f>'5_Produccion_Desagregada_10_09'!C26</f>
        <v>288</v>
      </c>
      <c r="E25" s="765">
        <f>IF(ISERROR(D25/C25-1),"",(D25/C25-1))</f>
        <v>-0.51919866444073448</v>
      </c>
      <c r="F25" s="766"/>
      <c r="G25" s="144">
        <v>600</v>
      </c>
      <c r="H25" s="767">
        <f>IF(ISERROR($G25/D25-1),"",$G25/D25-1)</f>
        <v>1.0833333333333335</v>
      </c>
    </row>
    <row r="26" spans="2:8" ht="19.5" customHeight="1" x14ac:dyDescent="0.25">
      <c r="B26" s="763" t="s">
        <v>56</v>
      </c>
      <c r="C26" s="764">
        <f>'5_Produccion_Desagregada_10_09'!E27</f>
        <v>37</v>
      </c>
      <c r="D26" s="764">
        <f>'5_Produccion_Desagregada_10_09'!C27</f>
        <v>125</v>
      </c>
      <c r="E26" s="765">
        <f>IF(ISERROR(D26/C26-1),"",(D26/C26-1))</f>
        <v>2.3783783783783785</v>
      </c>
      <c r="F26" s="766"/>
      <c r="G26" s="144">
        <v>80</v>
      </c>
      <c r="H26" s="767">
        <f>IF(ISERROR($G26/D26-1),"",$G26/D26-1)</f>
        <v>-0.36</v>
      </c>
    </row>
    <row r="27" spans="2:8" s="679" customFormat="1" ht="19.5" customHeight="1" x14ac:dyDescent="0.25">
      <c r="B27" s="372" t="s">
        <v>57</v>
      </c>
      <c r="C27" s="374">
        <f>SUM(C23:C26)</f>
        <v>938</v>
      </c>
      <c r="D27" s="374">
        <f>SUM(D23:D26)</f>
        <v>1279</v>
      </c>
      <c r="E27" s="375">
        <f>IF(ISERROR(D27/C27-1),"",(D27/C27-1))</f>
        <v>0.36353944562899776</v>
      </c>
      <c r="F27" s="771">
        <f>'16. Produc Rend Scio MD 10'!J57</f>
        <v>3.3025801407349493</v>
      </c>
      <c r="G27" s="374">
        <f>SUM(G23:G26)</f>
        <v>1330</v>
      </c>
      <c r="H27" s="772">
        <f>IF(ISERROR($G27/D27-1),"",$G27/D27-1)</f>
        <v>3.9874902267396317E-2</v>
      </c>
    </row>
    <row r="28" spans="2:8" ht="19.5" customHeight="1" x14ac:dyDescent="0.25">
      <c r="B28" s="243" t="s">
        <v>58</v>
      </c>
      <c r="C28" s="761"/>
      <c r="D28" s="761"/>
      <c r="E28" s="773"/>
      <c r="F28" s="770"/>
      <c r="G28" s="373"/>
      <c r="H28" s="762"/>
    </row>
    <row r="29" spans="2:8" ht="19.5" customHeight="1" thickBot="1" x14ac:dyDescent="0.3">
      <c r="B29" s="774" t="s">
        <v>404</v>
      </c>
      <c r="C29" s="775">
        <f>'5_Produccion_Desagregada_10_09'!E30</f>
        <v>2033</v>
      </c>
      <c r="D29" s="775">
        <f>'5_Produccion_Desagregada_10_09'!C30</f>
        <v>2043</v>
      </c>
      <c r="E29" s="776">
        <f>IF(ISERROR(D29/C29-1),"",(D29/C29-1))</f>
        <v>4.918839153959631E-3</v>
      </c>
      <c r="F29" s="777">
        <f>'16. Produc Rend Scio MD 10'!J62</f>
        <v>0.25844346549192365</v>
      </c>
      <c r="G29" s="303">
        <v>1750</v>
      </c>
      <c r="H29" s="778">
        <f>IF(ISERROR($G29/D29-1),"",$G29/D29-1)</f>
        <v>-0.14341654429760153</v>
      </c>
    </row>
  </sheetData>
  <sheetProtection password="EADF" sheet="1" objects="1" scenarios="1"/>
  <phoneticPr fontId="60" type="noConversion"/>
  <pageMargins left="0.7" right="0.7" top="0.75" bottom="0.75" header="0.3" footer="0.3"/>
  <pageSetup scale="7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view="pageBreakPreview" zoomScale="85" zoomScaleNormal="100" zoomScaleSheetLayoutView="85" workbookViewId="0">
      <selection activeCell="H6" sqref="H6"/>
    </sheetView>
  </sheetViews>
  <sheetFormatPr baseColWidth="10" defaultRowHeight="15" x14ac:dyDescent="0.25"/>
  <cols>
    <col min="1" max="1" width="1.7109375" style="141" customWidth="1"/>
    <col min="2" max="2" width="36" style="141" customWidth="1"/>
    <col min="3" max="3" width="12.85546875" style="141" customWidth="1"/>
    <col min="4" max="17" width="15.7109375" style="141" customWidth="1"/>
    <col min="18" max="18" width="13" style="400" customWidth="1"/>
    <col min="19" max="16384" width="11.42578125" style="141"/>
  </cols>
  <sheetData>
    <row r="1" spans="1:19" x14ac:dyDescent="0.25">
      <c r="A1" s="370"/>
      <c r="B1" s="116" t="s">
        <v>297</v>
      </c>
    </row>
    <row r="2" spans="1:19" ht="15.75" thickBot="1" x14ac:dyDescent="0.3">
      <c r="A2" s="370"/>
      <c r="B2" s="166"/>
    </row>
    <row r="3" spans="1:19" ht="45.75" thickBot="1" x14ac:dyDescent="0.3">
      <c r="A3" s="401"/>
      <c r="B3" s="402" t="s">
        <v>703</v>
      </c>
      <c r="C3" s="403" t="s">
        <v>303</v>
      </c>
      <c r="D3" s="404" t="s">
        <v>304</v>
      </c>
      <c r="E3" s="405" t="s">
        <v>305</v>
      </c>
      <c r="F3" s="406" t="s">
        <v>306</v>
      </c>
      <c r="G3" s="407" t="s">
        <v>307</v>
      </c>
      <c r="H3" s="408" t="s">
        <v>308</v>
      </c>
      <c r="I3" s="409" t="s">
        <v>316</v>
      </c>
      <c r="J3" s="410" t="s">
        <v>317</v>
      </c>
      <c r="K3" s="408" t="s">
        <v>318</v>
      </c>
      <c r="L3" s="409" t="s">
        <v>319</v>
      </c>
      <c r="M3" s="410" t="s">
        <v>320</v>
      </c>
      <c r="N3" s="408" t="s">
        <v>321</v>
      </c>
      <c r="O3" s="409" t="s">
        <v>322</v>
      </c>
      <c r="P3" s="410" t="s">
        <v>299</v>
      </c>
      <c r="Q3" s="408" t="s">
        <v>300</v>
      </c>
      <c r="R3" s="409" t="s">
        <v>301</v>
      </c>
      <c r="S3" s="3"/>
    </row>
    <row r="4" spans="1:19" ht="21" customHeight="1" x14ac:dyDescent="0.25">
      <c r="A4" s="411"/>
      <c r="B4" s="412" t="s">
        <v>61</v>
      </c>
      <c r="C4" s="413"/>
      <c r="D4" s="414"/>
      <c r="E4" s="415"/>
      <c r="F4" s="416"/>
      <c r="G4" s="417"/>
      <c r="H4" s="418"/>
      <c r="I4" s="419"/>
      <c r="J4" s="420"/>
      <c r="K4" s="418"/>
      <c r="L4" s="419"/>
      <c r="M4" s="420"/>
      <c r="N4" s="418"/>
      <c r="O4" s="419"/>
      <c r="P4" s="420"/>
      <c r="Q4" s="418"/>
      <c r="R4" s="419"/>
    </row>
    <row r="5" spans="1:19" ht="21" customHeight="1" x14ac:dyDescent="0.25">
      <c r="A5" s="411"/>
      <c r="B5" s="369" t="s">
        <v>242</v>
      </c>
      <c r="C5" s="421">
        <f>'17_Prog_Produc_2011'!G5</f>
        <v>24000</v>
      </c>
      <c r="D5" s="422">
        <f>IF(AND(ISNUMBER($C5),$C5&gt;0),D6,"")</f>
        <v>5.6882786044922182E-2</v>
      </c>
      <c r="E5" s="423">
        <f t="shared" ref="E5:E15" si="0">D5</f>
        <v>5.6882786044922182E-2</v>
      </c>
      <c r="F5" s="424">
        <f t="shared" ref="F5:F15" si="1">IF(ISERROR($C5*E5),"",ROUND($C5*E5,0))</f>
        <v>1365</v>
      </c>
      <c r="G5" s="422">
        <f>IF(AND(ISNUMBER($C5),$C5&gt;0),G6,"")</f>
        <v>2.3310758333592223</v>
      </c>
      <c r="H5" s="423">
        <f>G5</f>
        <v>2.3310758333592223</v>
      </c>
      <c r="I5" s="424">
        <f>IF(ISERROR($C5*H5),"",ROUND($C5*H5,0))</f>
        <v>55946</v>
      </c>
      <c r="J5" s="422">
        <f>IF(AND(ISNUMBER($C5),$C5&gt;0),J6,"")</f>
        <v>0</v>
      </c>
      <c r="K5" s="423">
        <f>J5</f>
        <v>0</v>
      </c>
      <c r="L5" s="424">
        <f>IF(ISERROR($C5*K5),"",ROUND($C5*K5,0))</f>
        <v>0</v>
      </c>
      <c r="M5" s="425">
        <f>IF(AND(ISNUMBER($C5),$C5&gt;0),M6,"")</f>
        <v>0</v>
      </c>
      <c r="N5" s="423">
        <f>M5</f>
        <v>0</v>
      </c>
      <c r="O5" s="424">
        <f>IF(ISERROR($C5*N5),"",ROUND($C5*N5,0))</f>
        <v>0</v>
      </c>
      <c r="P5" s="422">
        <f>IF(AND(ISNUMBER($C5),$C5&gt;0),P6,"")</f>
        <v>4.2918077604150486</v>
      </c>
      <c r="Q5" s="423">
        <f>P5</f>
        <v>4.2918077604150486</v>
      </c>
      <c r="R5" s="424">
        <f>IF(ISERROR($C5*Q5),"",ROUND($C5*Q5,0))</f>
        <v>103003</v>
      </c>
    </row>
    <row r="6" spans="1:19" ht="21" customHeight="1" x14ac:dyDescent="0.25">
      <c r="A6" s="411"/>
      <c r="B6" s="426" t="s">
        <v>243</v>
      </c>
      <c r="C6" s="421">
        <f>'17_Prog_Produc_2011'!G6</f>
        <v>34000</v>
      </c>
      <c r="D6" s="422">
        <f>'6_Prod_Scios_Intermedios_10'!G14</f>
        <v>5.6882786044922182E-2</v>
      </c>
      <c r="E6" s="423">
        <f t="shared" si="0"/>
        <v>5.6882786044922182E-2</v>
      </c>
      <c r="F6" s="424">
        <f t="shared" si="1"/>
        <v>1934</v>
      </c>
      <c r="G6" s="422">
        <f>'6_Prod_Scios_Intermedios_10'!G27</f>
        <v>2.3310758333592223</v>
      </c>
      <c r="H6" s="423">
        <f t="shared" ref="H6:H15" si="2">G6</f>
        <v>2.3310758333592223</v>
      </c>
      <c r="I6" s="424">
        <f>IF(ISERROR($C6*H6),"",ROUND($C6*H6,0))</f>
        <v>79257</v>
      </c>
      <c r="J6" s="422">
        <f>'6_Prod_Scios_Intermedios_10'!G40</f>
        <v>0</v>
      </c>
      <c r="K6" s="423">
        <f t="shared" ref="K6:K15" si="3">J6</f>
        <v>0</v>
      </c>
      <c r="L6" s="424">
        <f t="shared" ref="L6:L15" si="4">IF(ISERROR($C6*K6),"",ROUND($C6*K6,0))</f>
        <v>0</v>
      </c>
      <c r="M6" s="425">
        <f>'6_Prod_Scios_Intermedios_10'!G53</f>
        <v>0</v>
      </c>
      <c r="N6" s="423">
        <f t="shared" ref="N6:N15" si="5">M6</f>
        <v>0</v>
      </c>
      <c r="O6" s="424">
        <f t="shared" ref="O6:O15" si="6">IF(ISERROR($C6*N6),"",ROUND($C6*N6,0))</f>
        <v>0</v>
      </c>
      <c r="P6" s="422">
        <f>'6_Prod_Scios_Intermedios_10'!G66</f>
        <v>4.2918077604150486</v>
      </c>
      <c r="Q6" s="423">
        <f t="shared" ref="Q6:Q15" si="7">P6</f>
        <v>4.2918077604150486</v>
      </c>
      <c r="R6" s="424">
        <f t="shared" ref="R6:R15" si="8">IF(ISERROR($C6*Q6),"",ROUND($C6*Q6,0))</f>
        <v>145921</v>
      </c>
    </row>
    <row r="7" spans="1:19" ht="21" customHeight="1" x14ac:dyDescent="0.25">
      <c r="A7" s="411"/>
      <c r="B7" s="369" t="s">
        <v>244</v>
      </c>
      <c r="C7" s="421">
        <f>'17_Prog_Produc_2011'!G7</f>
        <v>14000</v>
      </c>
      <c r="D7" s="422">
        <f>'6_Prod_Scios_Intermedios_10'!G15</f>
        <v>0.22524403865766596</v>
      </c>
      <c r="E7" s="423">
        <f t="shared" si="0"/>
        <v>0.22524403865766596</v>
      </c>
      <c r="F7" s="424">
        <f t="shared" si="1"/>
        <v>3153</v>
      </c>
      <c r="G7" s="422">
        <f>'6_Prod_Scios_Intermedios_10'!G28</f>
        <v>1.7629061240347725</v>
      </c>
      <c r="H7" s="423">
        <f t="shared" si="2"/>
        <v>1.7629061240347725</v>
      </c>
      <c r="I7" s="424">
        <f t="shared" ref="I7:I15" si="9">IF(ISERROR($C7*H7),"",ROUND($C7*H7,0))</f>
        <v>24681</v>
      </c>
      <c r="J7" s="422">
        <f>'6_Prod_Scios_Intermedios_10'!G41</f>
        <v>0</v>
      </c>
      <c r="K7" s="423">
        <f t="shared" si="3"/>
        <v>0</v>
      </c>
      <c r="L7" s="424">
        <f t="shared" si="4"/>
        <v>0</v>
      </c>
      <c r="M7" s="425">
        <f>'6_Prod_Scios_Intermedios_10'!G54</f>
        <v>0</v>
      </c>
      <c r="N7" s="423">
        <f t="shared" si="5"/>
        <v>0</v>
      </c>
      <c r="O7" s="424">
        <f t="shared" si="6"/>
        <v>0</v>
      </c>
      <c r="P7" s="422">
        <f>'6_Prod_Scios_Intermedios_10'!G67</f>
        <v>1.8679034529648875</v>
      </c>
      <c r="Q7" s="423">
        <f t="shared" si="7"/>
        <v>1.8679034529648875</v>
      </c>
      <c r="R7" s="424">
        <f t="shared" si="8"/>
        <v>26151</v>
      </c>
    </row>
    <row r="8" spans="1:19" ht="21" customHeight="1" x14ac:dyDescent="0.25">
      <c r="A8" s="411"/>
      <c r="B8" s="427" t="s">
        <v>628</v>
      </c>
      <c r="C8" s="428"/>
      <c r="D8" s="429"/>
      <c r="E8" s="244"/>
      <c r="F8" s="430"/>
      <c r="G8" s="431"/>
      <c r="H8" s="244"/>
      <c r="I8" s="430"/>
      <c r="J8" s="429"/>
      <c r="K8" s="244"/>
      <c r="L8" s="430"/>
      <c r="M8" s="432"/>
      <c r="N8" s="244"/>
      <c r="O8" s="430"/>
      <c r="P8" s="429"/>
      <c r="Q8" s="244"/>
      <c r="R8" s="430"/>
    </row>
    <row r="9" spans="1:19" ht="21" customHeight="1" x14ac:dyDescent="0.25">
      <c r="A9" s="411"/>
      <c r="B9" s="369" t="s">
        <v>41</v>
      </c>
      <c r="C9" s="421">
        <f>'17_Prog_Produc_2011'!G10</f>
        <v>1250</v>
      </c>
      <c r="D9" s="422">
        <f>'6_Prod_Scios_Intermedios_10'!G6</f>
        <v>0.31841909023117076</v>
      </c>
      <c r="E9" s="423">
        <f t="shared" si="0"/>
        <v>0.31841909023117076</v>
      </c>
      <c r="F9" s="424">
        <f t="shared" si="1"/>
        <v>398</v>
      </c>
      <c r="G9" s="422">
        <f>'6_Prod_Scios_Intermedios_10'!G19</f>
        <v>12.43400447427293</v>
      </c>
      <c r="H9" s="423">
        <f t="shared" si="2"/>
        <v>12.43400447427293</v>
      </c>
      <c r="I9" s="424">
        <f t="shared" si="9"/>
        <v>15543</v>
      </c>
      <c r="J9" s="422">
        <f>'6_Prod_Scios_Intermedios_10'!G32</f>
        <v>0</v>
      </c>
      <c r="K9" s="423">
        <f t="shared" si="3"/>
        <v>0</v>
      </c>
      <c r="L9" s="424">
        <f t="shared" si="4"/>
        <v>0</v>
      </c>
      <c r="M9" s="425">
        <f>'6_Prod_Scios_Intermedios_10'!G45</f>
        <v>0.10663683818046234</v>
      </c>
      <c r="N9" s="423">
        <f t="shared" si="5"/>
        <v>0.10663683818046234</v>
      </c>
      <c r="O9" s="424">
        <f t="shared" si="6"/>
        <v>133</v>
      </c>
      <c r="P9" s="422">
        <f>'6_Prod_Scios_Intermedios_10'!G58</f>
        <v>12.416853094705443</v>
      </c>
      <c r="Q9" s="423">
        <f t="shared" si="7"/>
        <v>12.416853094705443</v>
      </c>
      <c r="R9" s="424">
        <f t="shared" si="8"/>
        <v>15521</v>
      </c>
    </row>
    <row r="10" spans="1:19" ht="21" customHeight="1" x14ac:dyDescent="0.25">
      <c r="A10" s="411"/>
      <c r="B10" s="369" t="s">
        <v>42</v>
      </c>
      <c r="C10" s="421">
        <f>'17_Prog_Produc_2011'!G11</f>
        <v>1000</v>
      </c>
      <c r="D10" s="422">
        <f>'6_Prod_Scios_Intermedios_10'!G7</f>
        <v>0.26510721247563351</v>
      </c>
      <c r="E10" s="423">
        <f t="shared" si="0"/>
        <v>0.26510721247563351</v>
      </c>
      <c r="F10" s="424">
        <f t="shared" si="1"/>
        <v>265</v>
      </c>
      <c r="G10" s="422">
        <f>'6_Prod_Scios_Intermedios_10'!G20</f>
        <v>10.047758284600389</v>
      </c>
      <c r="H10" s="423">
        <f t="shared" si="2"/>
        <v>10.047758284600389</v>
      </c>
      <c r="I10" s="424">
        <f t="shared" si="9"/>
        <v>10048</v>
      </c>
      <c r="J10" s="422">
        <f>'6_Prod_Scios_Intermedios_10'!G33</f>
        <v>0</v>
      </c>
      <c r="K10" s="423">
        <f t="shared" si="3"/>
        <v>0</v>
      </c>
      <c r="L10" s="424">
        <f t="shared" si="4"/>
        <v>0</v>
      </c>
      <c r="M10" s="425">
        <f>'6_Prod_Scios_Intermedios_10'!G46</f>
        <v>7.1150097465886936E-2</v>
      </c>
      <c r="N10" s="423">
        <f t="shared" si="5"/>
        <v>7.1150097465886936E-2</v>
      </c>
      <c r="O10" s="424">
        <f t="shared" si="6"/>
        <v>71</v>
      </c>
      <c r="P10" s="422">
        <f>'6_Prod_Scios_Intermedios_10'!G59</f>
        <v>12.916179337231968</v>
      </c>
      <c r="Q10" s="423">
        <f t="shared" si="7"/>
        <v>12.916179337231968</v>
      </c>
      <c r="R10" s="424">
        <f t="shared" si="8"/>
        <v>12916</v>
      </c>
    </row>
    <row r="11" spans="1:19" ht="21" customHeight="1" x14ac:dyDescent="0.25">
      <c r="A11" s="411"/>
      <c r="B11" s="369" t="s">
        <v>43</v>
      </c>
      <c r="C11" s="421">
        <f>'17_Prog_Produc_2011'!G12</f>
        <v>450</v>
      </c>
      <c r="D11" s="422">
        <f>'6_Prod_Scios_Intermedios_10'!G8</f>
        <v>9.9290780141843976E-2</v>
      </c>
      <c r="E11" s="423">
        <f t="shared" si="0"/>
        <v>9.9290780141843976E-2</v>
      </c>
      <c r="F11" s="424">
        <f t="shared" si="1"/>
        <v>45</v>
      </c>
      <c r="G11" s="422">
        <f>'6_Prod_Scios_Intermedios_10'!G21</f>
        <v>6.4089834515366428</v>
      </c>
      <c r="H11" s="423">
        <f t="shared" si="2"/>
        <v>6.4089834515366428</v>
      </c>
      <c r="I11" s="424">
        <f t="shared" si="9"/>
        <v>2884</v>
      </c>
      <c r="J11" s="422">
        <f>'6_Prod_Scios_Intermedios_10'!G34</f>
        <v>0</v>
      </c>
      <c r="K11" s="423">
        <f t="shared" si="3"/>
        <v>0</v>
      </c>
      <c r="L11" s="424">
        <f t="shared" si="4"/>
        <v>0</v>
      </c>
      <c r="M11" s="425">
        <f>'6_Prod_Scios_Intermedios_10'!G47</f>
        <v>0.13947990543735225</v>
      </c>
      <c r="N11" s="423">
        <f t="shared" si="5"/>
        <v>0.13947990543735225</v>
      </c>
      <c r="O11" s="424">
        <f t="shared" si="6"/>
        <v>63</v>
      </c>
      <c r="P11" s="422">
        <f>'6_Prod_Scios_Intermedios_10'!G60</f>
        <v>6.5626477541371155</v>
      </c>
      <c r="Q11" s="423">
        <f t="shared" si="7"/>
        <v>6.5626477541371155</v>
      </c>
      <c r="R11" s="424">
        <f t="shared" si="8"/>
        <v>2953</v>
      </c>
    </row>
    <row r="12" spans="1:19" ht="21" customHeight="1" x14ac:dyDescent="0.25">
      <c r="A12" s="411"/>
      <c r="B12" s="369" t="s">
        <v>44</v>
      </c>
      <c r="C12" s="421">
        <f>'17_Prog_Produc_2011'!G13</f>
        <v>1500</v>
      </c>
      <c r="D12" s="422">
        <f>'6_Prod_Scios_Intermedios_10'!G9</f>
        <v>3.0991735537190084E-2</v>
      </c>
      <c r="E12" s="423">
        <f t="shared" si="0"/>
        <v>3.0991735537190084E-2</v>
      </c>
      <c r="F12" s="424">
        <f t="shared" si="1"/>
        <v>46</v>
      </c>
      <c r="G12" s="422">
        <f>'6_Prod_Scios_Intermedios_10'!G22</f>
        <v>3.5812672176308542</v>
      </c>
      <c r="H12" s="423">
        <f t="shared" si="2"/>
        <v>3.5812672176308542</v>
      </c>
      <c r="I12" s="424">
        <f t="shared" si="9"/>
        <v>5372</v>
      </c>
      <c r="J12" s="422">
        <f>'6_Prod_Scios_Intermedios_10'!G35</f>
        <v>0</v>
      </c>
      <c r="K12" s="423">
        <f t="shared" si="3"/>
        <v>0</v>
      </c>
      <c r="L12" s="424">
        <f t="shared" si="4"/>
        <v>0</v>
      </c>
      <c r="M12" s="425">
        <f>'6_Prod_Scios_Intermedios_10'!G48</f>
        <v>2.6859504132231406E-2</v>
      </c>
      <c r="N12" s="423">
        <f t="shared" si="5"/>
        <v>2.6859504132231406E-2</v>
      </c>
      <c r="O12" s="424">
        <f t="shared" si="6"/>
        <v>40</v>
      </c>
      <c r="P12" s="422">
        <f>'6_Prod_Scios_Intermedios_10'!G61</f>
        <v>7.6845730027548207</v>
      </c>
      <c r="Q12" s="423">
        <f t="shared" si="7"/>
        <v>7.6845730027548207</v>
      </c>
      <c r="R12" s="424">
        <f t="shared" si="8"/>
        <v>11527</v>
      </c>
    </row>
    <row r="13" spans="1:19" ht="21" customHeight="1" x14ac:dyDescent="0.25">
      <c r="A13" s="411"/>
      <c r="B13" s="369" t="s">
        <v>45</v>
      </c>
      <c r="C13" s="421">
        <f>'17_Prog_Produc_2011'!G14</f>
        <v>1250</v>
      </c>
      <c r="D13" s="422">
        <f>'6_Prod_Scios_Intermedios_10'!G10</f>
        <v>0.17593984962406015</v>
      </c>
      <c r="E13" s="423">
        <f t="shared" si="0"/>
        <v>0.17593984962406015</v>
      </c>
      <c r="F13" s="424">
        <f t="shared" si="1"/>
        <v>220</v>
      </c>
      <c r="G13" s="422">
        <f>'6_Prod_Scios_Intermedios_10'!G23</f>
        <v>5.2315789473684209</v>
      </c>
      <c r="H13" s="423">
        <f t="shared" si="2"/>
        <v>5.2315789473684209</v>
      </c>
      <c r="I13" s="424">
        <f t="shared" si="9"/>
        <v>6539</v>
      </c>
      <c r="J13" s="422">
        <f>'6_Prod_Scios_Intermedios_10'!G36</f>
        <v>0</v>
      </c>
      <c r="K13" s="423">
        <f t="shared" si="3"/>
        <v>0</v>
      </c>
      <c r="L13" s="424">
        <f t="shared" si="4"/>
        <v>0</v>
      </c>
      <c r="M13" s="425">
        <f>'6_Prod_Scios_Intermedios_10'!G49</f>
        <v>3.0075187969924814E-3</v>
      </c>
      <c r="N13" s="423">
        <f t="shared" si="5"/>
        <v>3.0075187969924814E-3</v>
      </c>
      <c r="O13" s="424">
        <f t="shared" si="6"/>
        <v>4</v>
      </c>
      <c r="P13" s="422">
        <f>'6_Prod_Scios_Intermedios_10'!G62</f>
        <v>4.4428571428571431</v>
      </c>
      <c r="Q13" s="423">
        <f t="shared" si="7"/>
        <v>4.4428571428571431</v>
      </c>
      <c r="R13" s="424">
        <f t="shared" si="8"/>
        <v>5554</v>
      </c>
    </row>
    <row r="14" spans="1:19" ht="21" customHeight="1" x14ac:dyDescent="0.25">
      <c r="A14" s="411"/>
      <c r="B14" s="369" t="s">
        <v>46</v>
      </c>
      <c r="C14" s="421">
        <f>'17_Prog_Produc_2011'!G15</f>
        <v>300</v>
      </c>
      <c r="D14" s="422">
        <f>'6_Prod_Scios_Intermedios_10'!G11</f>
        <v>0.18413597733711048</v>
      </c>
      <c r="E14" s="423">
        <f t="shared" si="0"/>
        <v>0.18413597733711048</v>
      </c>
      <c r="F14" s="424">
        <f t="shared" si="1"/>
        <v>55</v>
      </c>
      <c r="G14" s="422">
        <f>'6_Prod_Scios_Intermedios_10'!G24</f>
        <v>11.212464589235127</v>
      </c>
      <c r="H14" s="423">
        <f t="shared" si="2"/>
        <v>11.212464589235127</v>
      </c>
      <c r="I14" s="424">
        <f t="shared" si="9"/>
        <v>3364</v>
      </c>
      <c r="J14" s="422">
        <f>'6_Prod_Scios_Intermedios_10'!G37</f>
        <v>0</v>
      </c>
      <c r="K14" s="423">
        <f t="shared" si="3"/>
        <v>0</v>
      </c>
      <c r="L14" s="424">
        <f t="shared" si="4"/>
        <v>0</v>
      </c>
      <c r="M14" s="425">
        <f>'6_Prod_Scios_Intermedios_10'!G50</f>
        <v>0</v>
      </c>
      <c r="N14" s="423">
        <f t="shared" si="5"/>
        <v>0</v>
      </c>
      <c r="O14" s="424">
        <f t="shared" si="6"/>
        <v>0</v>
      </c>
      <c r="P14" s="422">
        <f>'6_Prod_Scios_Intermedios_10'!G63</f>
        <v>2.6062322946175636</v>
      </c>
      <c r="Q14" s="423">
        <f t="shared" si="7"/>
        <v>2.6062322946175636</v>
      </c>
      <c r="R14" s="424">
        <f t="shared" si="8"/>
        <v>782</v>
      </c>
    </row>
    <row r="15" spans="1:19" ht="21" customHeight="1" x14ac:dyDescent="0.25">
      <c r="A15" s="411"/>
      <c r="B15" s="369" t="s">
        <v>59</v>
      </c>
      <c r="C15" s="421">
        <f>'17_Prog_Produc_2011'!G16</f>
        <v>0</v>
      </c>
      <c r="D15" s="422" t="str">
        <f>'6_Prod_Scios_Intermedios_10'!G13</f>
        <v/>
      </c>
      <c r="E15" s="423" t="str">
        <f t="shared" si="0"/>
        <v/>
      </c>
      <c r="F15" s="424" t="str">
        <f t="shared" si="1"/>
        <v/>
      </c>
      <c r="G15" s="422" t="str">
        <f>'6_Prod_Scios_Intermedios_10'!G26</f>
        <v/>
      </c>
      <c r="H15" s="423" t="str">
        <f t="shared" si="2"/>
        <v/>
      </c>
      <c r="I15" s="424" t="str">
        <f t="shared" si="9"/>
        <v/>
      </c>
      <c r="J15" s="422" t="str">
        <f>'6_Prod_Scios_Intermedios_10'!G39</f>
        <v/>
      </c>
      <c r="K15" s="423" t="str">
        <f t="shared" si="3"/>
        <v/>
      </c>
      <c r="L15" s="424" t="str">
        <f t="shared" si="4"/>
        <v/>
      </c>
      <c r="M15" s="425" t="str">
        <f>'6_Prod_Scios_Intermedios_10'!G52</f>
        <v/>
      </c>
      <c r="N15" s="423" t="str">
        <f t="shared" si="5"/>
        <v/>
      </c>
      <c r="O15" s="424" t="str">
        <f t="shared" si="6"/>
        <v/>
      </c>
      <c r="P15" s="422" t="str">
        <f>'6_Prod_Scios_Intermedios_10'!G65</f>
        <v/>
      </c>
      <c r="Q15" s="423" t="str">
        <f t="shared" si="7"/>
        <v/>
      </c>
      <c r="R15" s="424" t="str">
        <f t="shared" si="8"/>
        <v/>
      </c>
    </row>
    <row r="16" spans="1:19" ht="20.25" customHeight="1" thickBot="1" x14ac:dyDescent="0.3">
      <c r="A16" s="411"/>
      <c r="B16" s="438" t="s">
        <v>49</v>
      </c>
      <c r="C16" s="439">
        <f>SUM(C9:C15)</f>
        <v>5750</v>
      </c>
      <c r="D16" s="440"/>
      <c r="E16" s="441"/>
      <c r="F16" s="442"/>
      <c r="G16" s="443"/>
      <c r="H16" s="441"/>
      <c r="I16" s="442"/>
      <c r="J16" s="440"/>
      <c r="K16" s="441"/>
      <c r="L16" s="442"/>
      <c r="M16" s="444"/>
      <c r="N16" s="445"/>
      <c r="O16" s="446"/>
      <c r="P16" s="440"/>
      <c r="Q16" s="441"/>
      <c r="R16" s="446"/>
    </row>
    <row r="17" spans="1:18" ht="5.25" customHeight="1" thickBot="1" x14ac:dyDescent="0.3">
      <c r="A17" s="370"/>
      <c r="B17" s="433"/>
      <c r="C17" s="434"/>
      <c r="D17" s="434"/>
      <c r="E17" s="434"/>
      <c r="F17" s="435"/>
      <c r="G17" s="434"/>
      <c r="H17" s="434"/>
      <c r="I17" s="435"/>
      <c r="J17" s="434"/>
      <c r="K17" s="434"/>
      <c r="L17" s="435"/>
      <c r="M17" s="434"/>
      <c r="N17" s="434"/>
      <c r="O17" s="435"/>
      <c r="P17" s="434"/>
      <c r="Q17" s="434"/>
      <c r="R17" s="371"/>
    </row>
    <row r="18" spans="1:18" ht="21.75" customHeight="1" thickBot="1" x14ac:dyDescent="0.3">
      <c r="A18" s="370"/>
      <c r="B18" s="436" t="s">
        <v>33</v>
      </c>
      <c r="C18" s="355"/>
      <c r="D18" s="355"/>
      <c r="E18" s="355"/>
      <c r="F18" s="437">
        <f>SUM(F5:F16)</f>
        <v>7481</v>
      </c>
      <c r="G18" s="355"/>
      <c r="H18" s="355"/>
      <c r="I18" s="437">
        <f>SUM(I5:I16)</f>
        <v>203634</v>
      </c>
      <c r="J18" s="355"/>
      <c r="K18" s="355"/>
      <c r="L18" s="437">
        <f>SUM(L5:L16)</f>
        <v>0</v>
      </c>
      <c r="M18" s="355"/>
      <c r="N18" s="355"/>
      <c r="O18" s="437">
        <f>SUM(O5:O16)</f>
        <v>311</v>
      </c>
      <c r="P18" s="355"/>
      <c r="Q18" s="355"/>
      <c r="R18" s="437">
        <f>SUM(R5:R16)</f>
        <v>324328</v>
      </c>
    </row>
  </sheetData>
  <sheetProtection password="EADF" sheet="1"/>
  <phoneticPr fontId="60" type="noConversion"/>
  <pageMargins left="0.70866141732283472" right="0.70866141732283472" top="0.74803149606299213" bottom="0.74803149606299213" header="0.31496062992125984" footer="0.31496062992125984"/>
  <pageSetup scale="67" orientation="landscape" r:id="rId1"/>
  <colBreaks count="1" manualBreakCount="1">
    <brk id="9"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view="pageBreakPreview" zoomScale="76" zoomScaleNormal="100" zoomScaleSheetLayoutView="76" workbookViewId="0">
      <selection activeCell="D5" sqref="D5"/>
    </sheetView>
  </sheetViews>
  <sheetFormatPr baseColWidth="10" defaultRowHeight="15" x14ac:dyDescent="0.25"/>
  <cols>
    <col min="1" max="1" width="3.140625" style="141" customWidth="1"/>
    <col min="2" max="2" width="41.42578125" style="141" customWidth="1"/>
    <col min="3" max="3" width="13" style="141" customWidth="1"/>
    <col min="4" max="5" width="14.5703125" style="141" customWidth="1"/>
    <col min="6" max="6" width="14.140625" style="141" customWidth="1"/>
    <col min="7" max="8" width="12.7109375" style="141" customWidth="1"/>
    <col min="9" max="9" width="11.42578125" style="141"/>
    <col min="10" max="10" width="10.7109375" style="141" customWidth="1"/>
    <col min="11" max="11" width="12.7109375" style="141" customWidth="1"/>
    <col min="12" max="12" width="11.42578125" style="141"/>
    <col min="13" max="13" width="12.5703125" style="141" bestFit="1" customWidth="1"/>
    <col min="14" max="14" width="11.42578125" style="141"/>
    <col min="15" max="15" width="12.7109375" style="141" customWidth="1"/>
    <col min="16" max="16" width="11.42578125" style="141"/>
    <col min="17" max="17" width="13" style="141" customWidth="1"/>
    <col min="18" max="16384" width="11.42578125" style="141"/>
  </cols>
  <sheetData>
    <row r="1" spans="1:18" x14ac:dyDescent="0.25">
      <c r="B1" s="116" t="s">
        <v>323</v>
      </c>
    </row>
    <row r="2" spans="1:18" ht="15.75" thickBot="1" x14ac:dyDescent="0.3">
      <c r="B2" s="166"/>
    </row>
    <row r="3" spans="1:18" ht="57" thickBot="1" x14ac:dyDescent="0.3">
      <c r="A3" s="447"/>
      <c r="B3" s="448" t="s">
        <v>703</v>
      </c>
      <c r="C3" s="449" t="s">
        <v>303</v>
      </c>
      <c r="D3" s="450" t="s">
        <v>324</v>
      </c>
      <c r="E3" s="451" t="s">
        <v>325</v>
      </c>
      <c r="F3" s="452" t="s">
        <v>326</v>
      </c>
      <c r="G3" s="450" t="s">
        <v>327</v>
      </c>
      <c r="H3" s="451" t="s">
        <v>328</v>
      </c>
      <c r="I3" s="452" t="s">
        <v>329</v>
      </c>
      <c r="J3" s="450" t="s">
        <v>330</v>
      </c>
      <c r="K3" s="451" t="s">
        <v>331</v>
      </c>
      <c r="L3" s="452" t="s">
        <v>332</v>
      </c>
      <c r="M3" s="450" t="s">
        <v>333</v>
      </c>
      <c r="N3" s="451" t="s">
        <v>334</v>
      </c>
      <c r="O3" s="452" t="s">
        <v>335</v>
      </c>
      <c r="P3" s="450" t="s">
        <v>336</v>
      </c>
      <c r="Q3" s="451" t="s">
        <v>337</v>
      </c>
      <c r="R3" s="453" t="s">
        <v>338</v>
      </c>
    </row>
    <row r="4" spans="1:18" ht="21" customHeight="1" thickTop="1" x14ac:dyDescent="0.25">
      <c r="A4" s="454"/>
      <c r="B4" s="455" t="s">
        <v>61</v>
      </c>
      <c r="C4" s="456"/>
      <c r="D4" s="415"/>
      <c r="E4" s="415"/>
      <c r="F4" s="456"/>
      <c r="G4" s="415"/>
      <c r="H4" s="415"/>
      <c r="I4" s="456"/>
      <c r="J4" s="415"/>
      <c r="K4" s="415"/>
      <c r="L4" s="456"/>
      <c r="M4" s="415"/>
      <c r="N4" s="415"/>
      <c r="O4" s="456"/>
      <c r="P4" s="415"/>
      <c r="Q4" s="415"/>
      <c r="R4" s="416"/>
    </row>
    <row r="5" spans="1:18" ht="21" customHeight="1" x14ac:dyDescent="0.25">
      <c r="A5" s="457"/>
      <c r="B5" s="369" t="s">
        <v>242</v>
      </c>
      <c r="C5" s="458">
        <f>'17_Prog_Produc_2011'!G5</f>
        <v>24000</v>
      </c>
      <c r="D5" s="459"/>
      <c r="E5" s="167"/>
      <c r="F5" s="460">
        <f>IF(ISERROR($C5*E5),"",ROUND($C5*E5,0))</f>
        <v>0</v>
      </c>
      <c r="G5" s="461"/>
      <c r="H5" s="423">
        <f>G5</f>
        <v>0</v>
      </c>
      <c r="I5" s="460">
        <f>IF(ISERROR($C5*H5),"",ROUND($C5*H5,0))</f>
        <v>0</v>
      </c>
      <c r="J5" s="461">
        <f>IF(AND(ISNUMBER($C5),$C5&gt;0),J6,"")</f>
        <v>9.3199540215601598E-4</v>
      </c>
      <c r="K5" s="423">
        <f>J5</f>
        <v>9.3199540215601598E-4</v>
      </c>
      <c r="L5" s="460">
        <f>IF(ISERROR($C5*K5),"",ROUND($C5*K5,0))</f>
        <v>22</v>
      </c>
      <c r="M5" s="462">
        <f>IF(AND(ISNUMBER($C5),$C5&gt;0),M6,"")</f>
        <v>0</v>
      </c>
      <c r="N5" s="423">
        <f>M5</f>
        <v>0</v>
      </c>
      <c r="O5" s="460">
        <f>IF(ISERROR($C5*N5),"",ROUND($C5*N5,0))</f>
        <v>0</v>
      </c>
      <c r="P5" s="459">
        <f>IF(AND(ISNUMBER($C5),$C5&gt;0),P6,"")</f>
        <v>0</v>
      </c>
      <c r="Q5" s="423">
        <f>P5</f>
        <v>0</v>
      </c>
      <c r="R5" s="424">
        <f>IF(ISERROR($C5*Q5),"",ROUND($C5*Q5,0))</f>
        <v>0</v>
      </c>
    </row>
    <row r="6" spans="1:18" ht="21" customHeight="1" x14ac:dyDescent="0.25">
      <c r="A6" s="457"/>
      <c r="B6" s="369" t="s">
        <v>243</v>
      </c>
      <c r="C6" s="458">
        <f>'17_Prog_Produc_2011'!G6</f>
        <v>34000</v>
      </c>
      <c r="D6" s="463"/>
      <c r="E6" s="167"/>
      <c r="F6" s="460">
        <f t="shared" ref="F6:F14" si="0">IF(ISERROR($C6*E6),"",ROUND($C6*E6,0))</f>
        <v>0</v>
      </c>
      <c r="G6" s="461" t="str">
        <f>'7_Prod_Scios_Grales_10'!G25</f>
        <v/>
      </c>
      <c r="H6" s="423" t="str">
        <f>G6</f>
        <v/>
      </c>
      <c r="I6" s="460" t="str">
        <f t="shared" ref="I6:I14" si="1">IF(ISERROR($C6*H6),"",ROUND($C6*H6,0))</f>
        <v/>
      </c>
      <c r="J6" s="461">
        <f>'7_Prod_Scios_Grales_10'!G38</f>
        <v>9.3199540215601598E-4</v>
      </c>
      <c r="K6" s="423">
        <f>J6</f>
        <v>9.3199540215601598E-4</v>
      </c>
      <c r="L6" s="460">
        <f t="shared" ref="L6:L14" si="2">IF(ISERROR($C6*K6),"",ROUND($C6*K6,0))</f>
        <v>32</v>
      </c>
      <c r="M6" s="462">
        <f>'7_Prod_Scios_Grales_10'!G51</f>
        <v>0</v>
      </c>
      <c r="N6" s="423">
        <f>M6</f>
        <v>0</v>
      </c>
      <c r="O6" s="460">
        <f t="shared" ref="O6:O14" si="3">IF(ISERROR($C6*N6),"",ROUND($C6*N6,0))</f>
        <v>0</v>
      </c>
      <c r="P6" s="463">
        <f>'7_Prod_Scios_Grales_10'!G64</f>
        <v>0</v>
      </c>
      <c r="Q6" s="423">
        <f>P6</f>
        <v>0</v>
      </c>
      <c r="R6" s="424">
        <f t="shared" ref="R6:R14" si="4">IF(ISERROR($C6*Q6),"",ROUND($C6*Q6,0))</f>
        <v>0</v>
      </c>
    </row>
    <row r="7" spans="1:18" ht="21" customHeight="1" x14ac:dyDescent="0.25">
      <c r="A7" s="457"/>
      <c r="B7" s="369" t="s">
        <v>244</v>
      </c>
      <c r="C7" s="458">
        <f>'17_Prog_Produc_2011'!G7</f>
        <v>14000</v>
      </c>
      <c r="D7" s="463"/>
      <c r="E7" s="167"/>
      <c r="F7" s="460">
        <f t="shared" si="0"/>
        <v>0</v>
      </c>
      <c r="G7" s="461" t="str">
        <f>'7_Prod_Scios_Grales_10'!G26</f>
        <v/>
      </c>
      <c r="H7" s="423" t="str">
        <f>G7</f>
        <v/>
      </c>
      <c r="I7" s="460" t="str">
        <f t="shared" si="1"/>
        <v/>
      </c>
      <c r="J7" s="461">
        <f>'7_Prod_Scios_Grales_10'!G39</f>
        <v>9.7129813996406193E-4</v>
      </c>
      <c r="K7" s="423">
        <f>J7</f>
        <v>9.7129813996406193E-4</v>
      </c>
      <c r="L7" s="460">
        <f t="shared" si="2"/>
        <v>14</v>
      </c>
      <c r="M7" s="462">
        <f>'7_Prod_Scios_Grales_10'!G52</f>
        <v>0</v>
      </c>
      <c r="N7" s="423">
        <f>M7</f>
        <v>0</v>
      </c>
      <c r="O7" s="460">
        <f t="shared" si="3"/>
        <v>0</v>
      </c>
      <c r="P7" s="463">
        <f>'7_Prod_Scios_Grales_10'!G65</f>
        <v>2.6419309407022487E-2</v>
      </c>
      <c r="Q7" s="423">
        <f>P7</f>
        <v>2.6419309407022487E-2</v>
      </c>
      <c r="R7" s="424">
        <f t="shared" si="4"/>
        <v>370</v>
      </c>
    </row>
    <row r="8" spans="1:18" ht="21" customHeight="1" x14ac:dyDescent="0.25">
      <c r="A8" s="457"/>
      <c r="B8" s="427" t="s">
        <v>628</v>
      </c>
      <c r="C8" s="464"/>
      <c r="D8" s="465"/>
      <c r="E8" s="465"/>
      <c r="F8" s="367"/>
      <c r="G8" s="466"/>
      <c r="H8" s="465"/>
      <c r="I8" s="367"/>
      <c r="J8" s="466"/>
      <c r="K8" s="465"/>
      <c r="L8" s="367"/>
      <c r="M8" s="467"/>
      <c r="N8" s="465"/>
      <c r="O8" s="367"/>
      <c r="P8" s="465"/>
      <c r="Q8" s="465"/>
      <c r="R8" s="368"/>
    </row>
    <row r="9" spans="1:18" ht="21" customHeight="1" x14ac:dyDescent="0.25">
      <c r="A9" s="457"/>
      <c r="B9" s="369" t="s">
        <v>41</v>
      </c>
      <c r="C9" s="458">
        <f>'17_Prog_Produc_2011'!G10</f>
        <v>1250</v>
      </c>
      <c r="D9" s="463">
        <f>'7_Prod_Scios_Grales_10'!G6</f>
        <v>11.466815809097689</v>
      </c>
      <c r="E9" s="423">
        <f t="shared" ref="E9:E14" si="5">D9</f>
        <v>11.466815809097689</v>
      </c>
      <c r="F9" s="460">
        <f t="shared" si="0"/>
        <v>14334</v>
      </c>
      <c r="G9" s="461">
        <f>'7_Prod_Scios_Grales_10'!G17</f>
        <v>15.951528709917971</v>
      </c>
      <c r="H9" s="423">
        <f t="shared" ref="H9:H14" si="6">G9</f>
        <v>15.951528709917971</v>
      </c>
      <c r="I9" s="460">
        <f t="shared" si="1"/>
        <v>19939</v>
      </c>
      <c r="J9" s="461">
        <f>'7_Prod_Scios_Grales_10'!G30</f>
        <v>2.535421327367636E-2</v>
      </c>
      <c r="K9" s="423">
        <f t="shared" ref="K9:K14" si="7">J9</f>
        <v>2.535421327367636E-2</v>
      </c>
      <c r="L9" s="460">
        <f t="shared" si="2"/>
        <v>32</v>
      </c>
      <c r="M9" s="462">
        <f>'7_Prod_Scios_Grales_10'!G43</f>
        <v>0</v>
      </c>
      <c r="N9" s="423">
        <f t="shared" ref="N9:N14" si="8">M9</f>
        <v>0</v>
      </c>
      <c r="O9" s="460">
        <f t="shared" si="3"/>
        <v>0</v>
      </c>
      <c r="P9" s="463">
        <f>'7_Prod_Scios_Grales_10'!G56</f>
        <v>24.529455630126773</v>
      </c>
      <c r="Q9" s="423">
        <f t="shared" ref="Q9:Q14" si="9">P9</f>
        <v>24.529455630126773</v>
      </c>
      <c r="R9" s="424">
        <f t="shared" si="4"/>
        <v>30662</v>
      </c>
    </row>
    <row r="10" spans="1:18" ht="21" customHeight="1" x14ac:dyDescent="0.25">
      <c r="A10" s="457"/>
      <c r="B10" s="369" t="s">
        <v>42</v>
      </c>
      <c r="C10" s="458">
        <f>'17_Prog_Produc_2011'!G11</f>
        <v>1000</v>
      </c>
      <c r="D10" s="463">
        <f>'7_Prod_Scios_Grales_10'!G7</f>
        <v>9.9220272904483426</v>
      </c>
      <c r="E10" s="423">
        <f t="shared" si="5"/>
        <v>9.9220272904483426</v>
      </c>
      <c r="F10" s="460">
        <f t="shared" si="0"/>
        <v>9922</v>
      </c>
      <c r="G10" s="461">
        <f>'7_Prod_Scios_Grales_10'!G18</f>
        <v>13.955750487329436</v>
      </c>
      <c r="H10" s="423">
        <f t="shared" si="6"/>
        <v>13.955750487329436</v>
      </c>
      <c r="I10" s="460">
        <f t="shared" si="1"/>
        <v>13956</v>
      </c>
      <c r="J10" s="461">
        <f>'7_Prod_Scios_Grales_10'!G31</f>
        <v>1.5594541910331383E-2</v>
      </c>
      <c r="K10" s="423">
        <f t="shared" si="7"/>
        <v>1.5594541910331383E-2</v>
      </c>
      <c r="L10" s="460">
        <f t="shared" si="2"/>
        <v>16</v>
      </c>
      <c r="M10" s="462">
        <f>'7_Prod_Scios_Grales_10'!G44</f>
        <v>0</v>
      </c>
      <c r="N10" s="423">
        <f t="shared" si="8"/>
        <v>0</v>
      </c>
      <c r="O10" s="460">
        <f t="shared" si="3"/>
        <v>0</v>
      </c>
      <c r="P10" s="463">
        <f>'7_Prod_Scios_Grales_10'!G57</f>
        <v>10.071150097465887</v>
      </c>
      <c r="Q10" s="423">
        <f t="shared" si="9"/>
        <v>10.071150097465887</v>
      </c>
      <c r="R10" s="424">
        <f t="shared" si="4"/>
        <v>10071</v>
      </c>
    </row>
    <row r="11" spans="1:18" ht="21" customHeight="1" x14ac:dyDescent="0.25">
      <c r="A11" s="457"/>
      <c r="B11" s="369" t="s">
        <v>43</v>
      </c>
      <c r="C11" s="458">
        <f>'17_Prog_Produc_2011'!G12</f>
        <v>450</v>
      </c>
      <c r="D11" s="463">
        <f>'7_Prod_Scios_Grales_10'!G8</f>
        <v>13.113475177304965</v>
      </c>
      <c r="E11" s="423">
        <f t="shared" si="5"/>
        <v>13.113475177304965</v>
      </c>
      <c r="F11" s="460">
        <f t="shared" si="0"/>
        <v>5901</v>
      </c>
      <c r="G11" s="461">
        <f>'7_Prod_Scios_Grales_10'!G19</f>
        <v>37.602836879432623</v>
      </c>
      <c r="H11" s="423">
        <f t="shared" si="6"/>
        <v>37.602836879432623</v>
      </c>
      <c r="I11" s="460">
        <f t="shared" si="1"/>
        <v>16921</v>
      </c>
      <c r="J11" s="461">
        <f>'7_Prod_Scios_Grales_10'!G32</f>
        <v>2.1276595744680851E-2</v>
      </c>
      <c r="K11" s="423">
        <f t="shared" si="7"/>
        <v>2.1276595744680851E-2</v>
      </c>
      <c r="L11" s="460">
        <f t="shared" si="2"/>
        <v>10</v>
      </c>
      <c r="M11" s="462">
        <f>'7_Prod_Scios_Grales_10'!G45</f>
        <v>0</v>
      </c>
      <c r="N11" s="423">
        <f t="shared" si="8"/>
        <v>0</v>
      </c>
      <c r="O11" s="460">
        <f t="shared" si="3"/>
        <v>0</v>
      </c>
      <c r="P11" s="463">
        <f>'7_Prod_Scios_Grales_10'!G58</f>
        <v>2.6761229314420802</v>
      </c>
      <c r="Q11" s="423">
        <f t="shared" si="9"/>
        <v>2.6761229314420802</v>
      </c>
      <c r="R11" s="424">
        <f t="shared" si="4"/>
        <v>1204</v>
      </c>
    </row>
    <row r="12" spans="1:18" ht="21" customHeight="1" x14ac:dyDescent="0.25">
      <c r="A12" s="457"/>
      <c r="B12" s="369" t="s">
        <v>44</v>
      </c>
      <c r="C12" s="458">
        <f>'17_Prog_Produc_2011'!G13</f>
        <v>1500</v>
      </c>
      <c r="D12" s="463">
        <f>'7_Prod_Scios_Grales_10'!G9</f>
        <v>9.3691460055096414</v>
      </c>
      <c r="E12" s="423">
        <f t="shared" si="5"/>
        <v>9.3691460055096414</v>
      </c>
      <c r="F12" s="460">
        <f t="shared" si="0"/>
        <v>14054</v>
      </c>
      <c r="G12" s="461">
        <f>'7_Prod_Scios_Grales_10'!G20</f>
        <v>11.075068870523417</v>
      </c>
      <c r="H12" s="423">
        <f t="shared" si="6"/>
        <v>11.075068870523417</v>
      </c>
      <c r="I12" s="460">
        <f t="shared" si="1"/>
        <v>16613</v>
      </c>
      <c r="J12" s="461">
        <f>'7_Prod_Scios_Grales_10'!G33</f>
        <v>1.0330578512396695E-2</v>
      </c>
      <c r="K12" s="423">
        <f t="shared" si="7"/>
        <v>1.0330578512396695E-2</v>
      </c>
      <c r="L12" s="460">
        <f t="shared" si="2"/>
        <v>15</v>
      </c>
      <c r="M12" s="462">
        <f>'7_Prod_Scios_Grales_10'!G46</f>
        <v>0</v>
      </c>
      <c r="N12" s="423">
        <f t="shared" si="8"/>
        <v>0</v>
      </c>
      <c r="O12" s="460">
        <f t="shared" si="3"/>
        <v>0</v>
      </c>
      <c r="P12" s="463">
        <f>'7_Prod_Scios_Grales_10'!G59</f>
        <v>3.6928374655647382</v>
      </c>
      <c r="Q12" s="423">
        <f t="shared" si="9"/>
        <v>3.6928374655647382</v>
      </c>
      <c r="R12" s="424">
        <f t="shared" si="4"/>
        <v>5539</v>
      </c>
    </row>
    <row r="13" spans="1:18" ht="21" customHeight="1" x14ac:dyDescent="0.25">
      <c r="A13" s="457"/>
      <c r="B13" s="369" t="s">
        <v>45</v>
      </c>
      <c r="C13" s="458">
        <f>'17_Prog_Produc_2011'!G14</f>
        <v>1250</v>
      </c>
      <c r="D13" s="463" t="str">
        <f>'7_Prod_Scios_Grales_10'!G10</f>
        <v/>
      </c>
      <c r="E13" s="423" t="str">
        <f t="shared" si="5"/>
        <v/>
      </c>
      <c r="F13" s="460" t="str">
        <f t="shared" si="0"/>
        <v/>
      </c>
      <c r="G13" s="461" t="str">
        <f>'7_Prod_Scios_Grales_10'!G21</f>
        <v/>
      </c>
      <c r="H13" s="423" t="str">
        <f t="shared" si="6"/>
        <v/>
      </c>
      <c r="I13" s="460" t="str">
        <f t="shared" si="1"/>
        <v/>
      </c>
      <c r="J13" s="461">
        <f>'7_Prod_Scios_Grales_10'!G34</f>
        <v>7.5857142857142854</v>
      </c>
      <c r="K13" s="423">
        <f t="shared" si="7"/>
        <v>7.5857142857142854</v>
      </c>
      <c r="L13" s="460">
        <f t="shared" si="2"/>
        <v>9482</v>
      </c>
      <c r="M13" s="462">
        <f>'7_Prod_Scios_Grales_10'!G47</f>
        <v>6.5466165413533837</v>
      </c>
      <c r="N13" s="423">
        <f t="shared" si="8"/>
        <v>6.5466165413533837</v>
      </c>
      <c r="O13" s="460">
        <f t="shared" si="3"/>
        <v>8183</v>
      </c>
      <c r="P13" s="463">
        <f>'7_Prod_Scios_Grales_10'!G60</f>
        <v>6.5541353383458647</v>
      </c>
      <c r="Q13" s="423">
        <f t="shared" si="9"/>
        <v>6.5541353383458647</v>
      </c>
      <c r="R13" s="424">
        <f t="shared" si="4"/>
        <v>8193</v>
      </c>
    </row>
    <row r="14" spans="1:18" ht="21" customHeight="1" x14ac:dyDescent="0.25">
      <c r="A14" s="457"/>
      <c r="B14" s="369" t="s">
        <v>46</v>
      </c>
      <c r="C14" s="458">
        <f>'17_Prog_Produc_2011'!G15</f>
        <v>300</v>
      </c>
      <c r="D14" s="463" t="str">
        <f>'7_Prod_Scios_Grales_10'!G11</f>
        <v/>
      </c>
      <c r="E14" s="423" t="str">
        <f t="shared" si="5"/>
        <v/>
      </c>
      <c r="F14" s="460" t="str">
        <f t="shared" si="0"/>
        <v/>
      </c>
      <c r="G14" s="461" t="str">
        <f>'7_Prod_Scios_Grales_10'!G22</f>
        <v/>
      </c>
      <c r="H14" s="423" t="str">
        <f t="shared" si="6"/>
        <v/>
      </c>
      <c r="I14" s="460" t="str">
        <f t="shared" si="1"/>
        <v/>
      </c>
      <c r="J14" s="461">
        <f>'7_Prod_Scios_Grales_10'!G35</f>
        <v>0.76487252124645888</v>
      </c>
      <c r="K14" s="423">
        <f t="shared" si="7"/>
        <v>0.76487252124645888</v>
      </c>
      <c r="L14" s="460">
        <f t="shared" si="2"/>
        <v>229</v>
      </c>
      <c r="M14" s="462">
        <f>'7_Prod_Scios_Grales_10'!G48</f>
        <v>9.4362606232294617</v>
      </c>
      <c r="N14" s="423">
        <f t="shared" si="8"/>
        <v>9.4362606232294617</v>
      </c>
      <c r="O14" s="460">
        <f t="shared" si="3"/>
        <v>2831</v>
      </c>
      <c r="P14" s="463">
        <f>'7_Prod_Scios_Grales_10'!G61</f>
        <v>10.351274787535411</v>
      </c>
      <c r="Q14" s="423">
        <f t="shared" si="9"/>
        <v>10.351274787535411</v>
      </c>
      <c r="R14" s="424">
        <f t="shared" si="4"/>
        <v>3105</v>
      </c>
    </row>
    <row r="15" spans="1:18" ht="21" customHeight="1" thickBot="1" x14ac:dyDescent="0.3">
      <c r="A15" s="457"/>
      <c r="B15" s="468" t="s">
        <v>49</v>
      </c>
      <c r="C15" s="469">
        <f>SUM(C9:C14)</f>
        <v>5750</v>
      </c>
      <c r="D15" s="342"/>
      <c r="E15" s="342"/>
      <c r="F15" s="342"/>
      <c r="G15" s="470"/>
      <c r="H15" s="342"/>
      <c r="I15" s="342"/>
      <c r="J15" s="470"/>
      <c r="K15" s="342"/>
      <c r="L15" s="342"/>
      <c r="M15" s="471"/>
      <c r="N15" s="342"/>
      <c r="O15" s="342"/>
      <c r="P15" s="342"/>
      <c r="Q15" s="342"/>
      <c r="R15" s="472"/>
    </row>
    <row r="16" spans="1:18" ht="9.75" customHeight="1" thickBot="1" x14ac:dyDescent="0.3">
      <c r="C16" s="355"/>
      <c r="D16" s="355"/>
      <c r="E16" s="355"/>
      <c r="F16" s="473"/>
      <c r="G16" s="355"/>
      <c r="H16" s="355"/>
      <c r="I16" s="473"/>
      <c r="J16" s="355"/>
      <c r="K16" s="355"/>
      <c r="L16" s="473"/>
      <c r="M16" s="355"/>
      <c r="N16" s="355"/>
      <c r="O16" s="473"/>
      <c r="P16" s="355"/>
      <c r="Q16" s="355"/>
      <c r="R16" s="473"/>
    </row>
    <row r="17" spans="2:18" ht="16.5" thickBot="1" x14ac:dyDescent="0.3">
      <c r="B17" s="474" t="s">
        <v>33</v>
      </c>
      <c r="C17" s="355"/>
      <c r="D17" s="355"/>
      <c r="E17" s="355"/>
      <c r="F17" s="437">
        <f>SUM(F5:F15)</f>
        <v>44211</v>
      </c>
      <c r="G17" s="355"/>
      <c r="H17" s="355"/>
      <c r="I17" s="437">
        <f>SUM(I5:I15)</f>
        <v>67429</v>
      </c>
      <c r="J17" s="355"/>
      <c r="K17" s="355"/>
      <c r="L17" s="437">
        <f>SUM(L5:L15)</f>
        <v>9852</v>
      </c>
      <c r="M17" s="355"/>
      <c r="N17" s="355"/>
      <c r="O17" s="437">
        <f>SUM(O5:O15)</f>
        <v>11014</v>
      </c>
      <c r="P17" s="355"/>
      <c r="Q17" s="355"/>
      <c r="R17" s="437">
        <f>SUM(R5:R15)</f>
        <v>59144</v>
      </c>
    </row>
  </sheetData>
  <sheetProtection password="EADF" sheet="1" objects="1" scenarios="1"/>
  <phoneticPr fontId="60" type="noConversion"/>
  <pageMargins left="0.70866141732283472" right="0.70866141732283472" top="0.74803149606299213" bottom="0.74803149606299213" header="0.31496062992125984" footer="0.31496062992125984"/>
  <pageSetup scale="68" orientation="landscape" horizontalDpi="4294967293" r:id="rId1"/>
  <colBreaks count="1" manualBreakCount="1">
    <brk id="9"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view="pageBreakPreview" topLeftCell="B1" zoomScaleNormal="120" zoomScaleSheetLayoutView="100" workbookViewId="0">
      <selection activeCell="D18" sqref="D18"/>
    </sheetView>
  </sheetViews>
  <sheetFormatPr baseColWidth="10" defaultRowHeight="12.75" x14ac:dyDescent="0.2"/>
  <cols>
    <col min="1" max="1" width="13.28515625" style="476" hidden="1" customWidth="1"/>
    <col min="2" max="2" width="61.85546875" style="476" customWidth="1"/>
    <col min="3" max="4" width="14.7109375" style="476" customWidth="1"/>
    <col min="5" max="7" width="11.42578125" style="476"/>
    <col min="8" max="8" width="13.28515625" style="476" customWidth="1"/>
    <col min="9" max="16384" width="11.42578125" style="476"/>
  </cols>
  <sheetData>
    <row r="1" spans="1:4" s="169" customFormat="1" ht="15.75" x14ac:dyDescent="0.25">
      <c r="A1" s="168"/>
      <c r="B1" s="1227" t="s">
        <v>339</v>
      </c>
      <c r="C1" s="1227"/>
      <c r="D1" s="1227"/>
    </row>
    <row r="2" spans="1:4" ht="7.5" customHeight="1" thickBot="1" x14ac:dyDescent="0.25">
      <c r="A2" s="475"/>
      <c r="B2" s="475"/>
      <c r="C2" s="475"/>
      <c r="D2" s="475"/>
    </row>
    <row r="3" spans="1:4" ht="18.75" customHeight="1" thickBot="1" x14ac:dyDescent="0.25">
      <c r="A3" s="170" t="s">
        <v>298</v>
      </c>
      <c r="B3" s="171" t="s">
        <v>189</v>
      </c>
      <c r="C3" s="172">
        <v>2010</v>
      </c>
      <c r="D3" s="173">
        <v>2011</v>
      </c>
    </row>
    <row r="4" spans="1:4" ht="18.75" customHeight="1" x14ac:dyDescent="0.25">
      <c r="A4" s="477" t="str">
        <f>'[2]1. Inform. General'!$B$5</f>
        <v>3215</v>
      </c>
      <c r="B4" s="181" t="s">
        <v>605</v>
      </c>
      <c r="C4" s="174"/>
      <c r="D4" s="175"/>
    </row>
    <row r="5" spans="1:4" ht="18.75" customHeight="1" x14ac:dyDescent="0.25">
      <c r="A5" s="477" t="str">
        <f>'[2]1. Inform. General'!$B$5</f>
        <v>3215</v>
      </c>
      <c r="B5" s="182" t="s">
        <v>190</v>
      </c>
      <c r="C5" s="176">
        <f>'12_Indic_Gestion_Scios'!D5</f>
        <v>71</v>
      </c>
      <c r="D5" s="190">
        <v>25</v>
      </c>
    </row>
    <row r="6" spans="1:4" ht="18.75" customHeight="1" x14ac:dyDescent="0.25">
      <c r="A6" s="477" t="str">
        <f>'[2]1. Inform. General'!$B$5</f>
        <v>3215</v>
      </c>
      <c r="B6" s="182" t="s">
        <v>42</v>
      </c>
      <c r="C6" s="176">
        <f>'12_Indic_Gestion_Scios'!D6</f>
        <v>7</v>
      </c>
      <c r="D6" s="190">
        <v>7</v>
      </c>
    </row>
    <row r="7" spans="1:4" ht="18.75" customHeight="1" x14ac:dyDescent="0.25">
      <c r="A7" s="477" t="str">
        <f>'[2]1. Inform. General'!$B$5</f>
        <v>3215</v>
      </c>
      <c r="B7" s="182" t="s">
        <v>191</v>
      </c>
      <c r="C7" s="176">
        <f>'12_Indic_Gestion_Scios'!D7</f>
        <v>7</v>
      </c>
      <c r="D7" s="190">
        <v>7</v>
      </c>
    </row>
    <row r="8" spans="1:4" ht="18.75" customHeight="1" x14ac:dyDescent="0.25">
      <c r="A8" s="477" t="str">
        <f>'[2]1. Inform. General'!$B$5</f>
        <v>3215</v>
      </c>
      <c r="B8" s="182" t="s">
        <v>44</v>
      </c>
      <c r="C8" s="176">
        <f>'12_Indic_Gestion_Scios'!D8</f>
        <v>0</v>
      </c>
      <c r="D8" s="177">
        <v>0</v>
      </c>
    </row>
    <row r="9" spans="1:4" ht="18.75" customHeight="1" x14ac:dyDescent="0.25">
      <c r="A9" s="477" t="str">
        <f>'[2]1. Inform. General'!$B$5</f>
        <v>3215</v>
      </c>
      <c r="B9" s="182" t="s">
        <v>45</v>
      </c>
      <c r="C9" s="176">
        <f>'12_Indic_Gestion_Scios'!D9</f>
        <v>5</v>
      </c>
      <c r="D9" s="178">
        <v>5</v>
      </c>
    </row>
    <row r="10" spans="1:4" ht="18.75" customHeight="1" x14ac:dyDescent="0.25">
      <c r="A10" s="477" t="str">
        <f>'[2]1. Inform. General'!$B$5</f>
        <v>3215</v>
      </c>
      <c r="B10" s="183" t="s">
        <v>604</v>
      </c>
      <c r="C10" s="176">
        <f>'12_Indic_Gestion_Scios'!D11</f>
        <v>7</v>
      </c>
      <c r="D10" s="179">
        <v>7</v>
      </c>
    </row>
    <row r="11" spans="1:4" ht="18.75" customHeight="1" x14ac:dyDescent="0.25">
      <c r="A11" s="477" t="str">
        <f>'[2]1. Inform. General'!$B$5</f>
        <v>3215</v>
      </c>
      <c r="B11" s="182" t="s">
        <v>192</v>
      </c>
      <c r="C11" s="176">
        <f>'12_Indic_Gestion_Scios'!D12</f>
        <v>496</v>
      </c>
      <c r="D11" s="186">
        <v>450</v>
      </c>
    </row>
    <row r="12" spans="1:4" ht="18.75" customHeight="1" x14ac:dyDescent="0.25">
      <c r="A12" s="477" t="str">
        <f>'[2]1. Inform. General'!$B$5</f>
        <v>3215</v>
      </c>
      <c r="B12" s="183" t="s">
        <v>626</v>
      </c>
      <c r="C12" s="176">
        <f>'14_Produc_Rend_Cons_Cgia_10'!C11</f>
        <v>1097</v>
      </c>
      <c r="D12" s="191">
        <f>'17_Prog_Produc_2011'!G21</f>
        <v>1075</v>
      </c>
    </row>
    <row r="13" spans="1:4" ht="18.75" customHeight="1" x14ac:dyDescent="0.25">
      <c r="A13" s="477" t="str">
        <f>'[2]1. Inform. General'!$B$5</f>
        <v>3215</v>
      </c>
      <c r="B13" s="182" t="s">
        <v>196</v>
      </c>
      <c r="C13" s="176">
        <f>'14_Produc_Rend_Cons_Cgia_10'!C10</f>
        <v>223</v>
      </c>
      <c r="D13" s="191">
        <f>'17_Prog_Produc_2011'!G20</f>
        <v>225</v>
      </c>
    </row>
    <row r="14" spans="1:4" ht="18.75" customHeight="1" x14ac:dyDescent="0.25">
      <c r="A14" s="477" t="str">
        <f>'[2]1. Inform. General'!$B$5</f>
        <v>3215</v>
      </c>
      <c r="B14" s="182" t="s">
        <v>606</v>
      </c>
      <c r="C14" s="149">
        <f>IF(ISERROR(C13/C12),"",C13/C12)</f>
        <v>0.20328167730173199</v>
      </c>
      <c r="D14" s="187">
        <f>IF(ISERROR(D13/D12),"",D13/D12)</f>
        <v>0.20930232558139536</v>
      </c>
    </row>
    <row r="15" spans="1:4" ht="18.75" customHeight="1" x14ac:dyDescent="0.25">
      <c r="A15" s="477" t="str">
        <f>'[2]1. Inform. General'!$B$5</f>
        <v>3215</v>
      </c>
      <c r="B15" s="183" t="s">
        <v>625</v>
      </c>
      <c r="C15" s="149">
        <f>'12_Indic_Gestion_Scios'!D36</f>
        <v>0.9</v>
      </c>
      <c r="D15" s="188">
        <v>0.9</v>
      </c>
    </row>
    <row r="16" spans="1:4" ht="18.75" customHeight="1" x14ac:dyDescent="0.25">
      <c r="A16" s="477" t="str">
        <f>'[2]1. Inform. General'!$B$5</f>
        <v>3215</v>
      </c>
      <c r="B16" s="184" t="s">
        <v>204</v>
      </c>
      <c r="C16" s="990"/>
      <c r="D16" s="665"/>
    </row>
    <row r="17" spans="1:9" ht="18.75" customHeight="1" x14ac:dyDescent="0.25">
      <c r="A17" s="477" t="str">
        <f>'[2]1. Inform. General'!$B$5</f>
        <v>3215</v>
      </c>
      <c r="B17" s="182" t="s">
        <v>176</v>
      </c>
      <c r="C17" s="180">
        <f>'12_Indic_Gestion_Scios'!D39</f>
        <v>0.9935957404091601</v>
      </c>
      <c r="D17" s="189">
        <v>0.98</v>
      </c>
      <c r="I17" s="478"/>
    </row>
    <row r="18" spans="1:9" ht="18.75" customHeight="1" x14ac:dyDescent="0.25">
      <c r="A18" s="477" t="str">
        <f>'[2]1. Inform. General'!$B$5</f>
        <v>3215</v>
      </c>
      <c r="B18" s="182" t="s">
        <v>177</v>
      </c>
      <c r="C18" s="180">
        <f>'12_Indic_Gestion_Scios'!D40</f>
        <v>0.99806856591018833</v>
      </c>
      <c r="D18" s="189">
        <v>0.98</v>
      </c>
      <c r="I18" s="478"/>
    </row>
    <row r="19" spans="1:9" ht="18.75" customHeight="1" x14ac:dyDescent="0.25">
      <c r="A19" s="477" t="str">
        <f>'[2]1. Inform. General'!$B$5</f>
        <v>3215</v>
      </c>
      <c r="B19" s="182" t="s">
        <v>602</v>
      </c>
      <c r="C19" s="180">
        <f>'12_Indic_Gestion_Scios'!D41</f>
        <v>0.99998922419419467</v>
      </c>
      <c r="D19" s="189">
        <v>0.99</v>
      </c>
      <c r="I19" s="478"/>
    </row>
    <row r="20" spans="1:9" ht="18.75" customHeight="1" x14ac:dyDescent="0.25">
      <c r="A20" s="477" t="str">
        <f>'[2]1. Inform. General'!$B$5</f>
        <v>3215</v>
      </c>
      <c r="B20" s="182" t="s">
        <v>603</v>
      </c>
      <c r="C20" s="180">
        <f>'12_Indic_Gestion_Scios'!D42</f>
        <v>1</v>
      </c>
      <c r="D20" s="189">
        <v>0.99</v>
      </c>
      <c r="I20" s="478"/>
    </row>
    <row r="21" spans="1:9" ht="18.75" customHeight="1" x14ac:dyDescent="0.25">
      <c r="A21" s="477" t="str">
        <f>'[2]1. Inform. General'!$B$5</f>
        <v>3215</v>
      </c>
      <c r="B21" s="182" t="s">
        <v>180</v>
      </c>
      <c r="C21" s="180">
        <f>'12_Indic_Gestion_Scios'!D43</f>
        <v>0.67120253726426038</v>
      </c>
      <c r="D21" s="189">
        <v>0.8</v>
      </c>
      <c r="I21" s="478"/>
    </row>
    <row r="22" spans="1:9" ht="18.75" customHeight="1" x14ac:dyDescent="0.25">
      <c r="A22" s="477" t="str">
        <f>'[2]1. Inform. General'!$B$5</f>
        <v>3215</v>
      </c>
      <c r="B22" s="182" t="s">
        <v>181</v>
      </c>
      <c r="C22" s="180">
        <f>'12_Indic_Gestion_Scios'!D44</f>
        <v>0.9999887682508265</v>
      </c>
      <c r="D22" s="189">
        <v>1</v>
      </c>
      <c r="I22" s="478"/>
    </row>
    <row r="23" spans="1:9" ht="18.75" customHeight="1" x14ac:dyDescent="0.25">
      <c r="A23" s="477" t="str">
        <f>'[2]1. Inform. General'!$B$5</f>
        <v>3215</v>
      </c>
      <c r="B23" s="182" t="s">
        <v>59</v>
      </c>
      <c r="C23" s="180">
        <f>'12_Indic_Gestion_Scios'!D48</f>
        <v>0.9984664359309966</v>
      </c>
      <c r="D23" s="189">
        <v>0.99</v>
      </c>
      <c r="I23" s="478"/>
    </row>
    <row r="24" spans="1:9" ht="18.75" customHeight="1" thickBot="1" x14ac:dyDescent="0.3">
      <c r="A24" s="477" t="str">
        <f>'[2]1. Inform. General'!$B$5</f>
        <v>3215</v>
      </c>
      <c r="B24" s="185" t="s">
        <v>33</v>
      </c>
      <c r="C24" s="192">
        <f>'12_Indic_Gestion_Scios'!D49</f>
        <v>0.97631997340137666</v>
      </c>
      <c r="D24" s="193">
        <v>0.99</v>
      </c>
      <c r="I24" s="478"/>
    </row>
    <row r="25" spans="1:9" x14ac:dyDescent="0.2">
      <c r="A25" s="475"/>
    </row>
  </sheetData>
  <sheetProtection password="EADF" sheet="1" objects="1" scenarios="1"/>
  <mergeCells count="1">
    <mergeCell ref="B1:D1"/>
  </mergeCells>
  <phoneticPr fontId="60" type="noConversion"/>
  <pageMargins left="0.7" right="0.7" top="0.75" bottom="0.75" header="0.3" footer="0.3"/>
  <pageSetup scale="9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86"/>
  <sheetViews>
    <sheetView view="pageBreakPreview" topLeftCell="AM1" zoomScale="61" zoomScaleNormal="100" zoomScaleSheetLayoutView="61" workbookViewId="0">
      <selection activeCell="BA55" sqref="BA55"/>
    </sheetView>
  </sheetViews>
  <sheetFormatPr baseColWidth="10" defaultRowHeight="12.75" x14ac:dyDescent="0.2"/>
  <cols>
    <col min="1" max="1" width="12.42578125" style="8" customWidth="1"/>
    <col min="2" max="2" width="33.140625" style="8" customWidth="1"/>
    <col min="3" max="3" width="13.28515625" style="8" customWidth="1"/>
    <col min="4" max="4" width="19.28515625" style="8" customWidth="1"/>
    <col min="5" max="5" width="14.5703125" style="8" customWidth="1"/>
    <col min="6" max="6" width="14.28515625" style="8" customWidth="1"/>
    <col min="7" max="52" width="12.7109375" style="8" customWidth="1"/>
    <col min="53" max="53" width="16.5703125" style="8" customWidth="1"/>
    <col min="54" max="54" width="13.42578125" style="8" customWidth="1"/>
    <col min="55" max="55" width="12.7109375" style="8" customWidth="1"/>
    <col min="56" max="16384" width="11.42578125" style="8"/>
  </cols>
  <sheetData>
    <row r="1" spans="1:55" ht="26.25" x14ac:dyDescent="0.2">
      <c r="A1" s="1231" t="s">
        <v>674</v>
      </c>
      <c r="B1" s="1231"/>
      <c r="C1" s="1231"/>
      <c r="D1" s="1231"/>
      <c r="E1" s="1231"/>
      <c r="F1" s="1231"/>
      <c r="G1" s="1231"/>
      <c r="H1" s="1231"/>
      <c r="I1" s="1231"/>
      <c r="J1" s="1231"/>
      <c r="K1" s="1231"/>
      <c r="L1" s="1231"/>
      <c r="M1" s="1231"/>
      <c r="N1" s="1231"/>
      <c r="O1" s="1231"/>
      <c r="P1" s="1231"/>
      <c r="Q1" s="1231"/>
      <c r="R1" s="1231"/>
      <c r="S1" s="1231"/>
    </row>
    <row r="2" spans="1:55" ht="23.25" x14ac:dyDescent="0.2">
      <c r="A2" s="1232" t="s">
        <v>340</v>
      </c>
      <c r="B2" s="1232"/>
      <c r="C2" s="1232"/>
      <c r="D2" s="1232"/>
      <c r="E2" s="1232"/>
      <c r="F2" s="1232"/>
      <c r="G2" s="1232"/>
      <c r="H2" s="1232"/>
      <c r="I2" s="1232"/>
      <c r="J2" s="1232"/>
      <c r="K2" s="1232"/>
      <c r="L2" s="1232"/>
      <c r="M2" s="1232"/>
      <c r="N2" s="1232"/>
      <c r="O2" s="1232"/>
      <c r="P2" s="1232"/>
      <c r="Q2" s="1232"/>
      <c r="R2" s="1232"/>
      <c r="S2" s="1232"/>
    </row>
    <row r="3" spans="1:55" ht="15.75" x14ac:dyDescent="0.2">
      <c r="A3" s="1245"/>
      <c r="B3" s="1245"/>
      <c r="C3" s="1245"/>
      <c r="D3" s="1245"/>
      <c r="E3" s="1245"/>
      <c r="F3" s="1245"/>
      <c r="G3" s="1245"/>
      <c r="H3" s="1245"/>
      <c r="I3" s="1245"/>
      <c r="J3" s="1245"/>
      <c r="K3" s="1245"/>
      <c r="L3" s="1245"/>
      <c r="M3" s="1245"/>
      <c r="N3" s="1245"/>
      <c r="O3" s="1245"/>
      <c r="P3" s="1245"/>
      <c r="Q3" s="40"/>
      <c r="R3" s="40"/>
      <c r="S3" s="40"/>
    </row>
    <row r="4" spans="1:55" ht="13.5" thickBot="1" x14ac:dyDescent="0.25">
      <c r="A4" s="1233"/>
      <c r="B4" s="1233"/>
      <c r="C4" s="1233"/>
      <c r="D4" s="1233"/>
      <c r="E4" s="1233"/>
      <c r="F4" s="1233"/>
      <c r="G4" s="1233"/>
      <c r="H4" s="1233"/>
      <c r="I4" s="1233"/>
      <c r="J4" s="1233"/>
      <c r="K4" s="1233"/>
      <c r="L4" s="1233"/>
      <c r="M4" s="1233"/>
      <c r="N4" s="1233"/>
      <c r="O4" s="1233"/>
      <c r="P4" s="1233"/>
      <c r="Q4" s="1233"/>
      <c r="R4" s="1233"/>
      <c r="S4" s="1233"/>
    </row>
    <row r="5" spans="1:55" ht="17.25" customHeight="1" x14ac:dyDescent="0.2">
      <c r="A5" s="1234" t="s">
        <v>341</v>
      </c>
      <c r="B5" s="1236" t="s">
        <v>342</v>
      </c>
      <c r="C5" s="1238" t="s">
        <v>66</v>
      </c>
      <c r="D5" s="1238" t="s">
        <v>343</v>
      </c>
      <c r="E5" s="1240" t="s">
        <v>344</v>
      </c>
      <c r="F5" s="1241"/>
      <c r="G5" s="1241"/>
      <c r="H5" s="1241"/>
      <c r="I5" s="1241"/>
      <c r="J5" s="1241"/>
      <c r="K5" s="1241"/>
      <c r="L5" s="1241"/>
      <c r="M5" s="1241"/>
      <c r="N5" s="1241"/>
      <c r="O5" s="1241"/>
      <c r="P5" s="1241"/>
      <c r="Q5" s="1241"/>
      <c r="R5" s="1241"/>
      <c r="S5" s="1241"/>
      <c r="T5" s="1241"/>
      <c r="U5" s="1241"/>
      <c r="V5" s="1241"/>
      <c r="W5" s="1241"/>
      <c r="X5" s="1241"/>
      <c r="Y5" s="1241"/>
      <c r="Z5" s="1241"/>
      <c r="AA5" s="1241"/>
      <c r="AB5" s="1241"/>
      <c r="AC5" s="1241"/>
      <c r="AD5" s="1241"/>
      <c r="AE5" s="1241"/>
      <c r="AF5" s="1241"/>
      <c r="AG5" s="1241"/>
      <c r="AH5" s="1241"/>
      <c r="AI5" s="1241"/>
      <c r="AJ5" s="1241"/>
      <c r="AK5" s="1241"/>
      <c r="AL5" s="1241"/>
      <c r="AM5" s="1241"/>
      <c r="AN5" s="1241"/>
      <c r="AO5" s="1241"/>
      <c r="AP5" s="1241"/>
      <c r="AQ5" s="1241"/>
      <c r="AR5" s="1241"/>
      <c r="AS5" s="1241"/>
      <c r="AT5" s="1241"/>
      <c r="AU5" s="1241"/>
      <c r="AV5" s="1241"/>
      <c r="AW5" s="1241"/>
      <c r="AX5" s="1241"/>
      <c r="AY5" s="1241"/>
      <c r="AZ5" s="1241"/>
      <c r="BA5" s="1241"/>
      <c r="BB5" s="1241"/>
      <c r="BC5" s="1242"/>
    </row>
    <row r="6" spans="1:55" ht="17.25" customHeight="1" x14ac:dyDescent="0.2">
      <c r="A6" s="1235"/>
      <c r="B6" s="1237"/>
      <c r="C6" s="1239"/>
      <c r="D6" s="1239"/>
      <c r="E6" s="1239" t="s">
        <v>345</v>
      </c>
      <c r="F6" s="1239"/>
      <c r="G6" s="1239"/>
      <c r="H6" s="1239" t="s">
        <v>346</v>
      </c>
      <c r="I6" s="1239"/>
      <c r="J6" s="1239"/>
      <c r="K6" s="1239" t="s">
        <v>347</v>
      </c>
      <c r="L6" s="1239"/>
      <c r="M6" s="1239"/>
      <c r="N6" s="1239" t="s">
        <v>348</v>
      </c>
      <c r="O6" s="1239"/>
      <c r="P6" s="1239"/>
      <c r="Q6" s="1239" t="s">
        <v>349</v>
      </c>
      <c r="R6" s="1239"/>
      <c r="S6" s="1239"/>
      <c r="T6" s="1239" t="s">
        <v>350</v>
      </c>
      <c r="U6" s="1239"/>
      <c r="V6" s="1239"/>
      <c r="W6" s="1239" t="s">
        <v>351</v>
      </c>
      <c r="X6" s="1239"/>
      <c r="Y6" s="1239"/>
      <c r="Z6" s="1239" t="s">
        <v>352</v>
      </c>
      <c r="AA6" s="1239"/>
      <c r="AB6" s="1239"/>
      <c r="AC6" s="1239" t="s">
        <v>353</v>
      </c>
      <c r="AD6" s="1239"/>
      <c r="AE6" s="1239"/>
      <c r="AF6" s="1239" t="s">
        <v>354</v>
      </c>
      <c r="AG6" s="1239"/>
      <c r="AH6" s="1239"/>
      <c r="AI6" s="1239" t="s">
        <v>355</v>
      </c>
      <c r="AJ6" s="1239"/>
      <c r="AK6" s="1239"/>
      <c r="AL6" s="1239" t="s">
        <v>356</v>
      </c>
      <c r="AM6" s="1239"/>
      <c r="AN6" s="1239"/>
      <c r="AO6" s="1239" t="s">
        <v>357</v>
      </c>
      <c r="AP6" s="1239"/>
      <c r="AQ6" s="1239"/>
      <c r="AR6" s="1239" t="s">
        <v>358</v>
      </c>
      <c r="AS6" s="1239"/>
      <c r="AT6" s="1239"/>
      <c r="AU6" s="1239" t="s">
        <v>359</v>
      </c>
      <c r="AV6" s="1239"/>
      <c r="AW6" s="1239"/>
      <c r="AX6" s="1239" t="s">
        <v>360</v>
      </c>
      <c r="AY6" s="1239"/>
      <c r="AZ6" s="1239"/>
      <c r="BA6" s="1239" t="s">
        <v>361</v>
      </c>
      <c r="BB6" s="1239"/>
      <c r="BC6" s="1243"/>
    </row>
    <row r="7" spans="1:55" ht="17.25" customHeight="1" x14ac:dyDescent="0.2">
      <c r="A7" s="1235"/>
      <c r="B7" s="1237"/>
      <c r="C7" s="1239"/>
      <c r="D7" s="1239"/>
      <c r="E7" s="10" t="s">
        <v>362</v>
      </c>
      <c r="F7" s="10" t="s">
        <v>363</v>
      </c>
      <c r="G7" s="10" t="s">
        <v>364</v>
      </c>
      <c r="H7" s="10" t="s">
        <v>362</v>
      </c>
      <c r="I7" s="10" t="s">
        <v>363</v>
      </c>
      <c r="J7" s="10" t="s">
        <v>364</v>
      </c>
      <c r="K7" s="10" t="s">
        <v>362</v>
      </c>
      <c r="L7" s="10" t="s">
        <v>363</v>
      </c>
      <c r="M7" s="10" t="s">
        <v>364</v>
      </c>
      <c r="N7" s="10" t="s">
        <v>362</v>
      </c>
      <c r="O7" s="10" t="s">
        <v>363</v>
      </c>
      <c r="P7" s="10" t="s">
        <v>364</v>
      </c>
      <c r="Q7" s="10" t="s">
        <v>362</v>
      </c>
      <c r="R7" s="10" t="s">
        <v>363</v>
      </c>
      <c r="S7" s="10" t="s">
        <v>364</v>
      </c>
      <c r="T7" s="10" t="s">
        <v>362</v>
      </c>
      <c r="U7" s="10" t="s">
        <v>363</v>
      </c>
      <c r="V7" s="10" t="s">
        <v>364</v>
      </c>
      <c r="W7" s="10" t="s">
        <v>362</v>
      </c>
      <c r="X7" s="10" t="s">
        <v>363</v>
      </c>
      <c r="Y7" s="10" t="s">
        <v>364</v>
      </c>
      <c r="Z7" s="10" t="s">
        <v>362</v>
      </c>
      <c r="AA7" s="10" t="s">
        <v>363</v>
      </c>
      <c r="AB7" s="10" t="s">
        <v>364</v>
      </c>
      <c r="AC7" s="10" t="s">
        <v>362</v>
      </c>
      <c r="AD7" s="10" t="s">
        <v>363</v>
      </c>
      <c r="AE7" s="10" t="s">
        <v>364</v>
      </c>
      <c r="AF7" s="10" t="s">
        <v>362</v>
      </c>
      <c r="AG7" s="10" t="s">
        <v>363</v>
      </c>
      <c r="AH7" s="10" t="s">
        <v>364</v>
      </c>
      <c r="AI7" s="10" t="s">
        <v>362</v>
      </c>
      <c r="AJ7" s="10" t="s">
        <v>363</v>
      </c>
      <c r="AK7" s="10" t="s">
        <v>364</v>
      </c>
      <c r="AL7" s="10" t="s">
        <v>362</v>
      </c>
      <c r="AM7" s="10" t="s">
        <v>363</v>
      </c>
      <c r="AN7" s="10" t="s">
        <v>364</v>
      </c>
      <c r="AO7" s="10" t="s">
        <v>362</v>
      </c>
      <c r="AP7" s="10" t="s">
        <v>363</v>
      </c>
      <c r="AQ7" s="10" t="s">
        <v>364</v>
      </c>
      <c r="AR7" s="10" t="s">
        <v>362</v>
      </c>
      <c r="AS7" s="10" t="s">
        <v>363</v>
      </c>
      <c r="AT7" s="10" t="s">
        <v>364</v>
      </c>
      <c r="AU7" s="10" t="s">
        <v>362</v>
      </c>
      <c r="AV7" s="10" t="s">
        <v>363</v>
      </c>
      <c r="AW7" s="10" t="s">
        <v>364</v>
      </c>
      <c r="AX7" s="10" t="s">
        <v>362</v>
      </c>
      <c r="AY7" s="10" t="s">
        <v>363</v>
      </c>
      <c r="AZ7" s="10" t="s">
        <v>364</v>
      </c>
      <c r="BA7" s="10" t="s">
        <v>362</v>
      </c>
      <c r="BB7" s="10" t="s">
        <v>363</v>
      </c>
      <c r="BC7" s="343" t="s">
        <v>364</v>
      </c>
    </row>
    <row r="8" spans="1:55" ht="24.75" customHeight="1" x14ac:dyDescent="0.2">
      <c r="A8" s="1244" t="s">
        <v>365</v>
      </c>
      <c r="B8" s="246" t="s">
        <v>366</v>
      </c>
      <c r="C8" s="11"/>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344"/>
    </row>
    <row r="9" spans="1:55" ht="24.75" customHeight="1" x14ac:dyDescent="0.2">
      <c r="A9" s="1244"/>
      <c r="B9" s="209" t="s">
        <v>242</v>
      </c>
      <c r="C9" s="13" t="s">
        <v>367</v>
      </c>
      <c r="D9" s="479">
        <f>'17_Prog_Produc_2011'!G5</f>
        <v>24000</v>
      </c>
      <c r="E9" s="14">
        <f>IF(ISERROR($D9/12),"",$D9/12)</f>
        <v>2000</v>
      </c>
      <c r="F9" s="260">
        <v>1288</v>
      </c>
      <c r="G9" s="35">
        <f>IF(ISERROR(F9/E9),"",F9/E9)</f>
        <v>0.64400000000000002</v>
      </c>
      <c r="H9" s="14">
        <f>IF(ISERROR($D9/12),"",$D9/12)</f>
        <v>2000</v>
      </c>
      <c r="I9" s="263">
        <v>951</v>
      </c>
      <c r="J9" s="35">
        <f>IF(ISERROR(I9/H9),"",I9/H9)</f>
        <v>0.47549999999999998</v>
      </c>
      <c r="K9" s="14">
        <f>IF(ISERROR($D9/12),"",$D9/12)</f>
        <v>2000</v>
      </c>
      <c r="L9" s="263">
        <v>1606</v>
      </c>
      <c r="M9" s="35">
        <f>IF(ISERROR(L9/K9),"",L9/K9)</f>
        <v>0.80300000000000005</v>
      </c>
      <c r="N9" s="259">
        <f t="shared" ref="N9:O11" si="0">SUM(E9,H9,K9)</f>
        <v>6000</v>
      </c>
      <c r="O9" s="481">
        <f t="shared" si="0"/>
        <v>3845</v>
      </c>
      <c r="P9" s="15">
        <f>IF(ISERROR(O9/N9),"",O9/N9)</f>
        <v>0.64083333333333337</v>
      </c>
      <c r="Q9" s="14">
        <f>IF(ISERROR($D9/12),"",$D9/12)</f>
        <v>2000</v>
      </c>
      <c r="R9" s="263">
        <v>988</v>
      </c>
      <c r="S9" s="15">
        <f>IF(ISERROR(R9/Q9),"",R9/Q9)</f>
        <v>0.49399999999999999</v>
      </c>
      <c r="T9" s="14">
        <f>IF(ISERROR($D9/12),"",$D9/12)</f>
        <v>2000</v>
      </c>
      <c r="U9" s="260">
        <v>992</v>
      </c>
      <c r="V9" s="15">
        <f>IF(ISERROR(U9/T9),"",U9/T9)</f>
        <v>0.496</v>
      </c>
      <c r="W9" s="14">
        <f>IF(ISERROR($D9/12),"",$D9/12)</f>
        <v>2000</v>
      </c>
      <c r="X9" s="263">
        <v>1043</v>
      </c>
      <c r="Y9" s="15">
        <f>IF(ISERROR(X9/W9),"",X9/W9)</f>
        <v>0.52149999999999996</v>
      </c>
      <c r="Z9" s="259">
        <f t="shared" ref="Z9:AA11" si="1">SUM(Q9,T9,W9)</f>
        <v>6000</v>
      </c>
      <c r="AA9" s="481">
        <f t="shared" si="1"/>
        <v>3023</v>
      </c>
      <c r="AB9" s="15">
        <f>IF(ISERROR(AA9/Z9),"",AA9/Z9)</f>
        <v>0.50383333333333336</v>
      </c>
      <c r="AC9" s="14">
        <f>IF(ISERROR($D9/12),"",$D9/12)</f>
        <v>2000</v>
      </c>
      <c r="AD9" s="263">
        <v>1210</v>
      </c>
      <c r="AE9" s="15">
        <f>IF(ISERROR(AD9/AC9),"",AD9/AC9)</f>
        <v>0.60499999999999998</v>
      </c>
      <c r="AF9" s="14">
        <f>IF(ISERROR($D9/12),"",$D9/12)</f>
        <v>2000</v>
      </c>
      <c r="AG9" s="493">
        <v>1071</v>
      </c>
      <c r="AH9" s="15">
        <f>IF(ISERROR(AG9/AF9),"",AG9/AF9)</f>
        <v>0.53549999999999998</v>
      </c>
      <c r="AI9" s="14">
        <f>IF(ISERROR($D9/12),"",$D9/12)</f>
        <v>2000</v>
      </c>
      <c r="AJ9" s="260">
        <v>1310</v>
      </c>
      <c r="AK9" s="15">
        <f>IF(ISERROR(AJ9/AI9),"",AJ9/AI9)</f>
        <v>0.65500000000000003</v>
      </c>
      <c r="AL9" s="14">
        <f t="shared" ref="AL9:AM11" si="2">SUM(AC9,AF9,AI9)</f>
        <v>6000</v>
      </c>
      <c r="AM9" s="481">
        <f t="shared" si="2"/>
        <v>3591</v>
      </c>
      <c r="AN9" s="15">
        <f>IF(ISERROR(AM9/AL9),"",AM9/AL9)</f>
        <v>0.59850000000000003</v>
      </c>
      <c r="AO9" s="14">
        <f>IF(ISERROR($D9/12),"",$D9/12)</f>
        <v>2000</v>
      </c>
      <c r="AP9" s="263">
        <v>1222</v>
      </c>
      <c r="AQ9" s="15">
        <f>IF(ISERROR(AP9/AO9),"",AP9/AO9)</f>
        <v>0.61099999999999999</v>
      </c>
      <c r="AR9" s="14">
        <f>IF(ISERROR($D9/12),"",$D9/12)</f>
        <v>2000</v>
      </c>
      <c r="AS9" s="263">
        <v>1069</v>
      </c>
      <c r="AT9" s="15">
        <f>IF(ISERROR(AS9/AR9),"",AS9/AR9)</f>
        <v>0.53449999999999998</v>
      </c>
      <c r="AU9" s="14">
        <f>IF(ISERROR($D9/12),"",$D9/12)</f>
        <v>2000</v>
      </c>
      <c r="AV9" s="263">
        <v>794</v>
      </c>
      <c r="AW9" s="15">
        <f>IF(ISERROR(AV9/AU9),"",AV9/AU9)</f>
        <v>0.39700000000000002</v>
      </c>
      <c r="AX9" s="259">
        <f t="shared" ref="AX9:AY11" si="3">SUM(AO9,AR9,AU9)</f>
        <v>6000</v>
      </c>
      <c r="AY9" s="481">
        <f t="shared" si="3"/>
        <v>3085</v>
      </c>
      <c r="AZ9" s="15">
        <f>IF(ISERROR(AY9/AX9),"",AY9/AX9)</f>
        <v>0.51416666666666666</v>
      </c>
      <c r="BA9" s="259">
        <f>D9</f>
        <v>24000</v>
      </c>
      <c r="BB9" s="259">
        <v>13034</v>
      </c>
      <c r="BC9" s="345">
        <f>IF(ISERROR(BB9/BA9),"",BB9/BA9)</f>
        <v>0.54308333333333336</v>
      </c>
    </row>
    <row r="10" spans="1:55" ht="24.75" customHeight="1" x14ac:dyDescent="0.2">
      <c r="A10" s="1244"/>
      <c r="B10" s="209" t="s">
        <v>243</v>
      </c>
      <c r="C10" s="13" t="s">
        <v>367</v>
      </c>
      <c r="D10" s="482">
        <f>'17_Prog_Produc_2011'!G6</f>
        <v>34000</v>
      </c>
      <c r="E10" s="14">
        <f>IF(ISERROR($D10/12),"",$D10/12)</f>
        <v>2833.3333333333335</v>
      </c>
      <c r="F10" s="261">
        <v>3223</v>
      </c>
      <c r="G10" s="35">
        <f>IF(ISERROR(F10/E10),"",F10/E10)</f>
        <v>1.1375294117647059</v>
      </c>
      <c r="H10" s="14">
        <f>IF(ISERROR($D10/12),"",$D10/12)</f>
        <v>2833.3333333333335</v>
      </c>
      <c r="I10" s="263">
        <v>2876</v>
      </c>
      <c r="J10" s="35">
        <f>IF(ISERROR(I10/H10),"",I10/H10)</f>
        <v>1.0150588235294118</v>
      </c>
      <c r="K10" s="14">
        <f>IF(ISERROR($D10/12),"",$D10/12)</f>
        <v>2833.3333333333335</v>
      </c>
      <c r="L10" s="263">
        <v>2558</v>
      </c>
      <c r="M10" s="35">
        <f>IF(ISERROR(L10/K10),"",L10/K10)</f>
        <v>0.90282352941176469</v>
      </c>
      <c r="N10" s="259">
        <f t="shared" si="0"/>
        <v>8500</v>
      </c>
      <c r="O10" s="483">
        <f t="shared" si="0"/>
        <v>8657</v>
      </c>
      <c r="P10" s="15">
        <f>IF(ISERROR(O10/N10),"",O10/N10)</f>
        <v>1.018470588235294</v>
      </c>
      <c r="Q10" s="14">
        <f>IF(ISERROR($D10/12),"",$D10/12)</f>
        <v>2833.3333333333335</v>
      </c>
      <c r="R10" s="263">
        <v>2005</v>
      </c>
      <c r="S10" s="15">
        <f>IF(ISERROR(R10/Q10),"",R10/Q10)</f>
        <v>0.70764705882352941</v>
      </c>
      <c r="T10" s="14">
        <f>IF(ISERROR($D10/12),"",$D10/12)</f>
        <v>2833.3333333333335</v>
      </c>
      <c r="U10" s="261">
        <v>2878</v>
      </c>
      <c r="V10" s="15">
        <f>IF(ISERROR(U10/T10),"",U10/T10)</f>
        <v>1.0157647058823529</v>
      </c>
      <c r="W10" s="14">
        <f>IF(ISERROR($D10/12),"",$D10/12)</f>
        <v>2833.3333333333335</v>
      </c>
      <c r="X10" s="263">
        <v>3003</v>
      </c>
      <c r="Y10" s="15">
        <f>IF(ISERROR(X10/W10),"",X10/W10)</f>
        <v>1.0598823529411765</v>
      </c>
      <c r="Z10" s="259">
        <f t="shared" si="1"/>
        <v>8500</v>
      </c>
      <c r="AA10" s="483">
        <f t="shared" si="1"/>
        <v>7886</v>
      </c>
      <c r="AB10" s="15">
        <f>IF(ISERROR(AA10/Z10),"",AA10/Z10)</f>
        <v>0.92776470588235294</v>
      </c>
      <c r="AC10" s="14">
        <f>IF(ISERROR($D10/12),"",$D10/12)</f>
        <v>2833.3333333333335</v>
      </c>
      <c r="AD10" s="263">
        <v>2728</v>
      </c>
      <c r="AE10" s="15">
        <f>IF(ISERROR(AD10/AC10),"",AD10/AC10)</f>
        <v>0.96282352941176463</v>
      </c>
      <c r="AF10" s="14">
        <f>IF(ISERROR($D10/12),"",$D10/12)</f>
        <v>2833.3333333333335</v>
      </c>
      <c r="AG10" s="493">
        <v>2329</v>
      </c>
      <c r="AH10" s="15">
        <f>IF(ISERROR(AG10/AF10),"",AG10/AF10)</f>
        <v>0.82199999999999995</v>
      </c>
      <c r="AI10" s="14">
        <f>IF(ISERROR($D10/12),"",$D10/12)</f>
        <v>2833.3333333333335</v>
      </c>
      <c r="AJ10" s="261">
        <v>2912</v>
      </c>
      <c r="AK10" s="15">
        <f>IF(ISERROR(AJ10/AI10),"",AJ10/AI10)</f>
        <v>1.0277647058823529</v>
      </c>
      <c r="AL10" s="14">
        <f t="shared" si="2"/>
        <v>8500</v>
      </c>
      <c r="AM10" s="483">
        <f t="shared" si="2"/>
        <v>7969</v>
      </c>
      <c r="AN10" s="15">
        <f>IF(ISERROR(AM10/AL10),"",AM10/AL10)</f>
        <v>0.93752941176470583</v>
      </c>
      <c r="AO10" s="14">
        <f>IF(ISERROR($D10/12),"",$D10/12)</f>
        <v>2833.3333333333335</v>
      </c>
      <c r="AP10" s="263">
        <v>2576</v>
      </c>
      <c r="AQ10" s="15">
        <f>IF(ISERROR(AP10/AO10),"",AP10/AO10)</f>
        <v>0.90917647058823525</v>
      </c>
      <c r="AR10" s="14">
        <f>IF(ISERROR($D10/12),"",$D10/12)</f>
        <v>2833.3333333333335</v>
      </c>
      <c r="AS10" s="263">
        <v>2748</v>
      </c>
      <c r="AT10" s="15">
        <f>IF(ISERROR(AS10/AR10),"",AS10/AR10)</f>
        <v>0.96988235294117642</v>
      </c>
      <c r="AU10" s="14">
        <f>IF(ISERROR($D10/12),"",$D10/12)</f>
        <v>2833.3333333333335</v>
      </c>
      <c r="AV10" s="263">
        <v>2225</v>
      </c>
      <c r="AW10" s="15">
        <f>IF(ISERROR(AV10/AU10),"",AV10/AU10)</f>
        <v>0.78529411764705881</v>
      </c>
      <c r="AX10" s="259">
        <f t="shared" si="3"/>
        <v>8500</v>
      </c>
      <c r="AY10" s="483">
        <f t="shared" si="3"/>
        <v>7549</v>
      </c>
      <c r="AZ10" s="15">
        <f>IF(ISERROR(AY10/AX10),"",AY10/AX10)</f>
        <v>0.88811764705882357</v>
      </c>
      <c r="BA10" s="259">
        <f>D10</f>
        <v>34000</v>
      </c>
      <c r="BB10" s="259">
        <v>32629</v>
      </c>
      <c r="BC10" s="345">
        <f>IF(ISERROR(BB10/BA10),"",BB10/BA10)</f>
        <v>0.95967647058823524</v>
      </c>
    </row>
    <row r="11" spans="1:55" ht="24.75" customHeight="1" x14ac:dyDescent="0.2">
      <c r="A11" s="1244"/>
      <c r="B11" s="209" t="s">
        <v>244</v>
      </c>
      <c r="C11" s="13" t="s">
        <v>367</v>
      </c>
      <c r="D11" s="482">
        <f>'17_Prog_Produc_2011'!G7</f>
        <v>14000</v>
      </c>
      <c r="E11" s="14">
        <f>IF(ISERROR($D11/12),"",$D11/12)</f>
        <v>1166.6666666666667</v>
      </c>
      <c r="F11" s="261">
        <v>1538</v>
      </c>
      <c r="G11" s="35">
        <f>IF(ISERROR(F11/E11),"",F11/E11)</f>
        <v>1.3182857142857143</v>
      </c>
      <c r="H11" s="14">
        <f>IF(ISERROR($D11/12),"",$D11/12)</f>
        <v>1166.6666666666667</v>
      </c>
      <c r="I11" s="263">
        <v>1438</v>
      </c>
      <c r="J11" s="35">
        <f>IF(ISERROR(I11/H11),"",I11/H11)</f>
        <v>1.2325714285714284</v>
      </c>
      <c r="K11" s="14">
        <f>IF(ISERROR($D11/12),"",$D11/12)</f>
        <v>1166.6666666666667</v>
      </c>
      <c r="L11" s="263">
        <v>1756</v>
      </c>
      <c r="M11" s="35">
        <f>IF(ISERROR(L11/K11),"",L11/K11)</f>
        <v>1.5051428571428571</v>
      </c>
      <c r="N11" s="259">
        <f t="shared" si="0"/>
        <v>3500</v>
      </c>
      <c r="O11" s="483">
        <f t="shared" si="0"/>
        <v>4732</v>
      </c>
      <c r="P11" s="15">
        <f>IF(ISERROR(O11/N11),"",O11/N11)</f>
        <v>1.3520000000000001</v>
      </c>
      <c r="Q11" s="14">
        <f>IF(ISERROR($D11/12),"",$D11/12)</f>
        <v>1166.6666666666667</v>
      </c>
      <c r="R11" s="263">
        <v>2042</v>
      </c>
      <c r="S11" s="15">
        <f>IF(ISERROR(R11/Q11),"",R11/Q11)</f>
        <v>1.7502857142857142</v>
      </c>
      <c r="T11" s="14">
        <f>IF(ISERROR($D11/12),"",$D11/12)</f>
        <v>1166.6666666666667</v>
      </c>
      <c r="U11" s="261">
        <v>1865</v>
      </c>
      <c r="V11" s="15">
        <f>IF(ISERROR(U11/T11),"",U11/T11)</f>
        <v>1.5985714285714285</v>
      </c>
      <c r="W11" s="14">
        <f>IF(ISERROR($D11/12),"",$D11/12)</f>
        <v>1166.6666666666667</v>
      </c>
      <c r="X11" s="263">
        <v>1643</v>
      </c>
      <c r="Y11" s="15">
        <f>IF(ISERROR(X11/W11),"",X11/W11)</f>
        <v>1.4082857142857141</v>
      </c>
      <c r="Z11" s="259">
        <f t="shared" si="1"/>
        <v>3500</v>
      </c>
      <c r="AA11" s="483">
        <f t="shared" si="1"/>
        <v>5550</v>
      </c>
      <c r="AB11" s="15">
        <f>IF(ISERROR(AA11/Z11),"",AA11/Z11)</f>
        <v>1.5857142857142856</v>
      </c>
      <c r="AC11" s="14">
        <f>IF(ISERROR($D11/12),"",$D11/12)</f>
        <v>1166.6666666666667</v>
      </c>
      <c r="AD11" s="263">
        <v>2010</v>
      </c>
      <c r="AE11" s="15">
        <f>IF(ISERROR(AD11/AC11),"",AD11/AC11)</f>
        <v>1.7228571428571426</v>
      </c>
      <c r="AF11" s="14">
        <f>IF(ISERROR($D11/12),"",$D11/12)</f>
        <v>1166.6666666666667</v>
      </c>
      <c r="AG11" s="493">
        <v>1768</v>
      </c>
      <c r="AH11" s="15">
        <f>IF(ISERROR(AG11/AF11),"",AG11/AF11)</f>
        <v>1.5154285714285713</v>
      </c>
      <c r="AI11" s="14">
        <f>IF(ISERROR($D11/12),"",$D11/12)</f>
        <v>1166.6666666666667</v>
      </c>
      <c r="AJ11" s="261">
        <v>1731</v>
      </c>
      <c r="AK11" s="15">
        <f>IF(ISERROR(AJ11/AI11),"",AJ11/AI11)</f>
        <v>1.4837142857142855</v>
      </c>
      <c r="AL11" s="14">
        <f t="shared" si="2"/>
        <v>3500</v>
      </c>
      <c r="AM11" s="483">
        <f t="shared" si="2"/>
        <v>5509</v>
      </c>
      <c r="AN11" s="15">
        <f>IF(ISERROR(AM11/AL11),"",AM11/AL11)</f>
        <v>1.5740000000000001</v>
      </c>
      <c r="AO11" s="14">
        <f>IF(ISERROR($D11/12),"",$D11/12)</f>
        <v>1166.6666666666667</v>
      </c>
      <c r="AP11" s="263">
        <v>1855</v>
      </c>
      <c r="AQ11" s="15">
        <f>IF(ISERROR(AP11/AO11),"",AP11/AO11)</f>
        <v>1.5899999999999999</v>
      </c>
      <c r="AR11" s="14">
        <f>IF(ISERROR($D11/12),"",$D11/12)</f>
        <v>1166.6666666666667</v>
      </c>
      <c r="AS11" s="263">
        <v>1570</v>
      </c>
      <c r="AT11" s="15">
        <f>IF(ISERROR(AS11/AR11),"",AS11/AR11)</f>
        <v>1.3457142857142856</v>
      </c>
      <c r="AU11" s="14">
        <f>IF(ISERROR($D11/12),"",$D11/12)</f>
        <v>1166.6666666666667</v>
      </c>
      <c r="AV11" s="263">
        <v>1617</v>
      </c>
      <c r="AW11" s="15">
        <f>IF(ISERROR(AV11/AU11),"",AV11/AU11)</f>
        <v>1.3859999999999999</v>
      </c>
      <c r="AX11" s="259">
        <f t="shared" si="3"/>
        <v>3500</v>
      </c>
      <c r="AY11" s="483">
        <v>0</v>
      </c>
      <c r="AZ11" s="15">
        <f>IF(ISERROR(AY11/AX11),"",AY11/AX11)</f>
        <v>0</v>
      </c>
      <c r="BA11" s="259">
        <f>D11</f>
        <v>14000</v>
      </c>
      <c r="BB11" s="259">
        <v>21163</v>
      </c>
      <c r="BC11" s="345">
        <f>IF(ISERROR(BB11/BA11),"",BB11/BA11)</f>
        <v>1.5116428571428571</v>
      </c>
    </row>
    <row r="12" spans="1:55" ht="24.75" customHeight="1" x14ac:dyDescent="0.2">
      <c r="A12" s="1244"/>
      <c r="B12" s="247" t="s">
        <v>368</v>
      </c>
      <c r="C12" s="13" t="s">
        <v>367</v>
      </c>
      <c r="D12" s="16">
        <f>SUM(D9:D11)</f>
        <v>72000</v>
      </c>
      <c r="E12" s="17">
        <f>SUM(E9:E11)</f>
        <v>6000.0000000000009</v>
      </c>
      <c r="F12" s="17">
        <f>SUM(F9:F11)</f>
        <v>6049</v>
      </c>
      <c r="G12" s="36">
        <f>IF(ISERROR(F12/E12),"",F12/E12)</f>
        <v>1.0081666666666664</v>
      </c>
      <c r="H12" s="17">
        <f>SUM(H9:H11)</f>
        <v>6000.0000000000009</v>
      </c>
      <c r="I12" s="17">
        <f>SUM(I9:I11)</f>
        <v>5265</v>
      </c>
      <c r="J12" s="36">
        <f>IF(ISERROR(I12/H12),"",I12/H12)</f>
        <v>0.87749999999999984</v>
      </c>
      <c r="K12" s="17">
        <f>SUM(K9:K11)</f>
        <v>6000.0000000000009</v>
      </c>
      <c r="L12" s="17">
        <f>SUM(L9:L11)</f>
        <v>5920</v>
      </c>
      <c r="M12" s="36">
        <f>IF(ISERROR(L12/K12),"",L12/K12)</f>
        <v>0.98666666666666647</v>
      </c>
      <c r="N12" s="17">
        <f>SUM(N9:N11)</f>
        <v>18000</v>
      </c>
      <c r="O12" s="17">
        <f>SUM(O9:O11)</f>
        <v>17234</v>
      </c>
      <c r="P12" s="18">
        <f>IF(ISERROR(O12/N12),"",O12/N12)</f>
        <v>0.95744444444444443</v>
      </c>
      <c r="Q12" s="17">
        <f>SUM(Q9:Q11)</f>
        <v>6000.0000000000009</v>
      </c>
      <c r="R12" s="17">
        <f>SUM(R9:R11)</f>
        <v>5035</v>
      </c>
      <c r="S12" s="18">
        <f>IF(ISERROR(R12/Q12),"",R12/Q12)</f>
        <v>0.83916666666666651</v>
      </c>
      <c r="T12" s="17">
        <f>SUM(T9:T11)</f>
        <v>6000.0000000000009</v>
      </c>
      <c r="U12" s="17">
        <f>SUM(U9:U11)</f>
        <v>5735</v>
      </c>
      <c r="V12" s="18">
        <f>IF(ISERROR(U12/T12),"",U12/T12)</f>
        <v>0.9558333333333332</v>
      </c>
      <c r="W12" s="17">
        <f>SUM(W9:W11)</f>
        <v>6000.0000000000009</v>
      </c>
      <c r="X12" s="17">
        <f>SUM(X9:X11)</f>
        <v>5689</v>
      </c>
      <c r="Y12" s="18">
        <f>IF(ISERROR(X12/W12),"",X12/W12)</f>
        <v>0.94816666666666649</v>
      </c>
      <c r="Z12" s="17">
        <f>SUM(Z9:Z11)</f>
        <v>18000</v>
      </c>
      <c r="AA12" s="17">
        <f>SUM(AA9:AA11)</f>
        <v>16459</v>
      </c>
      <c r="AB12" s="18">
        <f>IF(ISERROR(AA12/Z12),"",AA12/Z12)</f>
        <v>0.91438888888888892</v>
      </c>
      <c r="AC12" s="17">
        <f>SUM(AC9:AC11)</f>
        <v>6000.0000000000009</v>
      </c>
      <c r="AD12" s="17">
        <f>SUM(AD9:AD11)</f>
        <v>5948</v>
      </c>
      <c r="AE12" s="18">
        <f>IF(ISERROR(AD12/AC12),"",AD12/AC12)</f>
        <v>0.99133333333333318</v>
      </c>
      <c r="AF12" s="17">
        <f>SUM(AF9:AF11)</f>
        <v>6000.0000000000009</v>
      </c>
      <c r="AG12" s="17">
        <f>SUM(AG9:AG11)</f>
        <v>5168</v>
      </c>
      <c r="AH12" s="18">
        <f>IF(ISERROR(AG12/AF12),"",AG12/AF12)</f>
        <v>0.86133333333333317</v>
      </c>
      <c r="AI12" s="17">
        <f>SUM(AI9:AI11)</f>
        <v>6000.0000000000009</v>
      </c>
      <c r="AJ12" s="17">
        <f>SUM(AJ9:AJ11)</f>
        <v>5953</v>
      </c>
      <c r="AK12" s="18">
        <f>IF(ISERROR(AJ12/AI12),"",AJ12/AI12)</f>
        <v>0.99216666666666653</v>
      </c>
      <c r="AL12" s="17">
        <f>SUM(AL9:AL11)</f>
        <v>18000</v>
      </c>
      <c r="AM12" s="17">
        <f>SUM(AM9:AM11)</f>
        <v>17069</v>
      </c>
      <c r="AN12" s="18">
        <f>IF(ISERROR(AM12/AL12),"",AM12/AL12)</f>
        <v>0.94827777777777778</v>
      </c>
      <c r="AO12" s="17">
        <f>SUM(AO9:AO11)</f>
        <v>6000.0000000000009</v>
      </c>
      <c r="AP12" s="17">
        <f>SUM(AP9:AP11)</f>
        <v>5653</v>
      </c>
      <c r="AQ12" s="18">
        <f>IF(ISERROR(AP12/AO12),"",AP12/AO12)</f>
        <v>0.94216666666666649</v>
      </c>
      <c r="AR12" s="17">
        <f>SUM(AR9:AR11)</f>
        <v>6000.0000000000009</v>
      </c>
      <c r="AS12" s="17">
        <f>SUM(AS9:AS11)</f>
        <v>5387</v>
      </c>
      <c r="AT12" s="18">
        <f>IF(ISERROR(AS12/AR12),"",AS12/AR12)</f>
        <v>0.89783333333333315</v>
      </c>
      <c r="AU12" s="17">
        <f>SUM(AU9:AU11)</f>
        <v>6000.0000000000009</v>
      </c>
      <c r="AV12" s="17">
        <f>SUM(AV9:AV11)</f>
        <v>4636</v>
      </c>
      <c r="AW12" s="18">
        <f>IF(ISERROR(AV12/AU12),"",AV12/AU12)</f>
        <v>0.7726666666666665</v>
      </c>
      <c r="AX12" s="17">
        <f>SUM(AX9:AX11)</f>
        <v>18000</v>
      </c>
      <c r="AY12" s="17">
        <f>SUM(AY9:AY11)</f>
        <v>10634</v>
      </c>
      <c r="AZ12" s="18">
        <f>IF(ISERROR(AY12/AX12),"",AY12/AX12)</f>
        <v>0.59077777777777774</v>
      </c>
      <c r="BA12" s="17">
        <f>SUM(BA9:BA11)</f>
        <v>72000</v>
      </c>
      <c r="BB12" s="17">
        <f>SUM(BB9:BB11)</f>
        <v>66826</v>
      </c>
      <c r="BC12" s="346">
        <f>IF(ISERROR(BB12/BA12),"",BB12/BA12)</f>
        <v>0.92813888888888885</v>
      </c>
    </row>
    <row r="13" spans="1:55" ht="24.75" customHeight="1" x14ac:dyDescent="0.2">
      <c r="A13" s="1244"/>
      <c r="B13" s="246" t="s">
        <v>369</v>
      </c>
      <c r="C13" s="19"/>
      <c r="D13" s="12"/>
      <c r="E13" s="14"/>
      <c r="F13" s="14"/>
      <c r="G13" s="37"/>
      <c r="H13" s="14"/>
      <c r="I13" s="14"/>
      <c r="J13" s="37"/>
      <c r="K13" s="14"/>
      <c r="L13" s="14"/>
      <c r="M13" s="37"/>
      <c r="N13" s="14"/>
      <c r="O13" s="14"/>
      <c r="P13" s="20"/>
      <c r="Q13" s="14"/>
      <c r="R13" s="14"/>
      <c r="S13" s="20"/>
      <c r="T13" s="14"/>
      <c r="U13" s="14"/>
      <c r="V13" s="20"/>
      <c r="W13" s="14"/>
      <c r="X13" s="14"/>
      <c r="Y13" s="20"/>
      <c r="Z13" s="14"/>
      <c r="AA13" s="14"/>
      <c r="AB13" s="20"/>
      <c r="AC13" s="14"/>
      <c r="AD13" s="14"/>
      <c r="AE13" s="20"/>
      <c r="AF13" s="14"/>
      <c r="AG13" s="14"/>
      <c r="AH13" s="20"/>
      <c r="AI13" s="14"/>
      <c r="AJ13" s="14"/>
      <c r="AK13" s="20"/>
      <c r="AL13" s="14"/>
      <c r="AM13" s="14"/>
      <c r="AN13" s="20"/>
      <c r="AO13" s="14"/>
      <c r="AP13" s="14"/>
      <c r="AQ13" s="20"/>
      <c r="AR13" s="14"/>
      <c r="AS13" s="14"/>
      <c r="AT13" s="20"/>
      <c r="AU13" s="14"/>
      <c r="AV13" s="14"/>
      <c r="AW13" s="20"/>
      <c r="AX13" s="14"/>
      <c r="AY13" s="14"/>
      <c r="AZ13" s="20"/>
      <c r="BA13" s="14"/>
      <c r="BB13" s="14"/>
      <c r="BC13" s="347"/>
    </row>
    <row r="14" spans="1:55" ht="24.75" customHeight="1" x14ac:dyDescent="0.2">
      <c r="A14" s="1244"/>
      <c r="B14" s="209" t="s">
        <v>41</v>
      </c>
      <c r="C14" s="13" t="s">
        <v>294</v>
      </c>
      <c r="D14" s="479">
        <f>'17_Prog_Produc_2011'!G10</f>
        <v>1250</v>
      </c>
      <c r="E14" s="14">
        <f>IF(ISERROR($D14/12),"",$D14/12)</f>
        <v>104.16666666666667</v>
      </c>
      <c r="F14" s="261">
        <v>97</v>
      </c>
      <c r="G14" s="35">
        <f t="shared" ref="G14:G21" si="4">IF(ISERROR(F14/E14),"",F14/E14)</f>
        <v>0.93119999999999992</v>
      </c>
      <c r="H14" s="14">
        <f>IF(ISERROR($D14/12),"",$D14/12)</f>
        <v>104.16666666666667</v>
      </c>
      <c r="I14" s="263">
        <v>75</v>
      </c>
      <c r="J14" s="35">
        <f t="shared" ref="J14:J21" si="5">IF(ISERROR(I14/H14),"",I14/H14)</f>
        <v>0.72</v>
      </c>
      <c r="K14" s="14">
        <f>IF(ISERROR($D14/12),"",$D14/12)</f>
        <v>104.16666666666667</v>
      </c>
      <c r="L14" s="263">
        <v>122</v>
      </c>
      <c r="M14" s="35">
        <f t="shared" ref="M14:M21" si="6">IF(ISERROR(L14/K14),"",L14/K14)</f>
        <v>1.1712</v>
      </c>
      <c r="N14" s="259">
        <f t="shared" ref="N14:O20" si="7">SUM(E14,H14,K14)</f>
        <v>312.5</v>
      </c>
      <c r="O14" s="483">
        <f t="shared" si="7"/>
        <v>294</v>
      </c>
      <c r="P14" s="15">
        <f t="shared" ref="P14:P21" si="8">IF(ISERROR(O14/N14),"",O14/N14)</f>
        <v>0.94079999999999997</v>
      </c>
      <c r="Q14" s="14">
        <f>IF(ISERROR($D14/12),"",$D14/12)</f>
        <v>104.16666666666667</v>
      </c>
      <c r="R14" s="263">
        <v>63</v>
      </c>
      <c r="S14" s="15">
        <f t="shared" ref="S14:S21" si="9">IF(ISERROR(R14/Q14),"",R14/Q14)</f>
        <v>0.6048</v>
      </c>
      <c r="T14" s="14">
        <f>IF(ISERROR($D14/12),"",$D14/12)</f>
        <v>104.16666666666667</v>
      </c>
      <c r="U14" s="261">
        <v>68</v>
      </c>
      <c r="V14" s="15">
        <f t="shared" ref="V14:V21" si="10">IF(ISERROR(U14/T14),"",U14/T14)</f>
        <v>0.65279999999999994</v>
      </c>
      <c r="W14" s="14">
        <f>IF(ISERROR($D14/12),"",$D14/12)</f>
        <v>104.16666666666667</v>
      </c>
      <c r="X14" s="263">
        <v>66</v>
      </c>
      <c r="Y14" s="15">
        <f t="shared" ref="Y14:Y21" si="11">IF(ISERROR(X14/W14),"",X14/W14)</f>
        <v>0.63359999999999994</v>
      </c>
      <c r="Z14" s="259">
        <f t="shared" ref="Z14:AA20" si="12">SUM(Q14,T14,W14)</f>
        <v>312.5</v>
      </c>
      <c r="AA14" s="481">
        <f t="shared" si="12"/>
        <v>197</v>
      </c>
      <c r="AB14" s="15">
        <f t="shared" ref="AB14:AB21" si="13">IF(ISERROR(AA14/Z14),"",AA14/Z14)</f>
        <v>0.63039999999999996</v>
      </c>
      <c r="AC14" s="14">
        <f>IF(ISERROR($D14/12),"",$D14/12)</f>
        <v>104.16666666666667</v>
      </c>
      <c r="AD14" s="263">
        <v>67</v>
      </c>
      <c r="AE14" s="15">
        <f t="shared" ref="AE14:AE21" si="14">IF(ISERROR(AD14/AC14),"",AD14/AC14)</f>
        <v>0.64319999999999999</v>
      </c>
      <c r="AF14" s="14">
        <f>IF(ISERROR($D14/12),"",$D14/12)</f>
        <v>104.16666666666667</v>
      </c>
      <c r="AG14" s="493">
        <v>74</v>
      </c>
      <c r="AH14" s="15">
        <f t="shared" ref="AH14:AH21" si="15">IF(ISERROR(AG14/AF14),"",AG14/AF14)</f>
        <v>0.71039999999999992</v>
      </c>
      <c r="AI14" s="14">
        <f>IF(ISERROR($D14/12),"",$D14/12)</f>
        <v>104.16666666666667</v>
      </c>
      <c r="AJ14" s="261">
        <v>118</v>
      </c>
      <c r="AK14" s="15">
        <f t="shared" ref="AK14:AK21" si="16">IF(ISERROR(AJ14/AI14),"",AJ14/AI14)</f>
        <v>1.1328</v>
      </c>
      <c r="AL14" s="14">
        <f t="shared" ref="AL14:AM20" si="17">SUM(AC14,AF14,AI14)</f>
        <v>312.5</v>
      </c>
      <c r="AM14" s="483">
        <f t="shared" si="17"/>
        <v>259</v>
      </c>
      <c r="AN14" s="15">
        <f t="shared" ref="AN14:AN21" si="18">IF(ISERROR(AM14/AL14),"",AM14/AL14)</f>
        <v>0.82879999999999998</v>
      </c>
      <c r="AO14" s="14">
        <f>IF(ISERROR($D14/12),"",$D14/12)</f>
        <v>104.16666666666667</v>
      </c>
      <c r="AP14" s="263">
        <v>95</v>
      </c>
      <c r="AQ14" s="15">
        <f t="shared" ref="AQ14:AQ21" si="19">IF(ISERROR(AP14/AO14),"",AP14/AO14)</f>
        <v>0.91199999999999992</v>
      </c>
      <c r="AR14" s="14">
        <f>IF(ISERROR($D14/12),"",$D14/12)</f>
        <v>104.16666666666667</v>
      </c>
      <c r="AS14" s="263">
        <v>104</v>
      </c>
      <c r="AT14" s="15">
        <f t="shared" ref="AT14:AT21" si="20">IF(ISERROR(AS14/AR14),"",AS14/AR14)</f>
        <v>0.99839999999999995</v>
      </c>
      <c r="AU14" s="14">
        <f>IF(ISERROR($D14/12),"",$D14/12)</f>
        <v>104.16666666666667</v>
      </c>
      <c r="AV14" s="263">
        <v>60</v>
      </c>
      <c r="AW14" s="15">
        <f t="shared" ref="AW14:AW21" si="21">IF(ISERROR(AV14/AU14),"",AV14/AU14)</f>
        <v>0.57599999999999996</v>
      </c>
      <c r="AX14" s="259">
        <f t="shared" ref="AX14:AX20" si="22">SUM(AO14,AR14,AU14)</f>
        <v>312.5</v>
      </c>
      <c r="AY14" s="481">
        <f>SUM(AP14,AS14,AV14)</f>
        <v>259</v>
      </c>
      <c r="AZ14" s="15">
        <f t="shared" ref="AZ14:AZ21" si="23">IF(ISERROR(AY14/AX14),"",AY14/AX14)</f>
        <v>0.82879999999999998</v>
      </c>
      <c r="BA14" s="259">
        <f>D14</f>
        <v>1250</v>
      </c>
      <c r="BB14" s="259">
        <v>987</v>
      </c>
      <c r="BC14" s="345">
        <f t="shared" ref="BC14:BC21" si="24">IF(ISERROR(BB14/BA14),"",BB14/BA14)</f>
        <v>0.78959999999999997</v>
      </c>
    </row>
    <row r="15" spans="1:55" ht="24.75" customHeight="1" x14ac:dyDescent="0.2">
      <c r="A15" s="1244"/>
      <c r="B15" s="209" t="s">
        <v>42</v>
      </c>
      <c r="C15" s="13" t="s">
        <v>294</v>
      </c>
      <c r="D15" s="479">
        <f>'17_Prog_Produc_2011'!G11</f>
        <v>1000</v>
      </c>
      <c r="E15" s="14">
        <f t="shared" ref="E15:E20" si="25">IF(ISERROR($D15/12),"",$D15/12)</f>
        <v>83.333333333333329</v>
      </c>
      <c r="F15" s="261">
        <v>98</v>
      </c>
      <c r="G15" s="35">
        <f t="shared" si="4"/>
        <v>1.1760000000000002</v>
      </c>
      <c r="H15" s="14">
        <f t="shared" ref="H15:H20" si="26">IF(ISERROR($D15/12),"",$D15/12)</f>
        <v>83.333333333333329</v>
      </c>
      <c r="I15" s="263">
        <v>100</v>
      </c>
      <c r="J15" s="35">
        <f t="shared" si="5"/>
        <v>1.2000000000000002</v>
      </c>
      <c r="K15" s="14">
        <f t="shared" ref="K15:K20" si="27">IF(ISERROR($D15/12),"",$D15/12)</f>
        <v>83.333333333333329</v>
      </c>
      <c r="L15" s="263">
        <v>96</v>
      </c>
      <c r="M15" s="35">
        <f t="shared" si="6"/>
        <v>1.1520000000000001</v>
      </c>
      <c r="N15" s="259">
        <f t="shared" si="7"/>
        <v>250</v>
      </c>
      <c r="O15" s="483">
        <f t="shared" si="7"/>
        <v>294</v>
      </c>
      <c r="P15" s="15">
        <f t="shared" si="8"/>
        <v>1.1759999999999999</v>
      </c>
      <c r="Q15" s="14">
        <f t="shared" ref="Q15:Q20" si="28">IF(ISERROR($D15/12),"",$D15/12)</f>
        <v>83.333333333333329</v>
      </c>
      <c r="R15" s="263">
        <v>85</v>
      </c>
      <c r="S15" s="15">
        <f t="shared" si="9"/>
        <v>1.02</v>
      </c>
      <c r="T15" s="14">
        <f t="shared" ref="T15:T20" si="29">IF(ISERROR($D15/12),"",$D15/12)</f>
        <v>83.333333333333329</v>
      </c>
      <c r="U15" s="261">
        <v>94</v>
      </c>
      <c r="V15" s="15">
        <f t="shared" si="10"/>
        <v>1.1280000000000001</v>
      </c>
      <c r="W15" s="14">
        <f t="shared" ref="W15:W20" si="30">IF(ISERROR($D15/12),"",$D15/12)</f>
        <v>83.333333333333329</v>
      </c>
      <c r="X15" s="263">
        <v>97</v>
      </c>
      <c r="Y15" s="15">
        <f t="shared" si="11"/>
        <v>1.1640000000000001</v>
      </c>
      <c r="Z15" s="259">
        <f t="shared" si="12"/>
        <v>250</v>
      </c>
      <c r="AA15" s="481">
        <f t="shared" si="12"/>
        <v>276</v>
      </c>
      <c r="AB15" s="15">
        <f t="shared" si="13"/>
        <v>1.1040000000000001</v>
      </c>
      <c r="AC15" s="14">
        <f t="shared" ref="AC15:AC20" si="31">IF(ISERROR($D15/12),"",$D15/12)</f>
        <v>83.333333333333329</v>
      </c>
      <c r="AD15" s="263">
        <v>105</v>
      </c>
      <c r="AE15" s="15">
        <f t="shared" si="14"/>
        <v>1.26</v>
      </c>
      <c r="AF15" s="14">
        <f t="shared" ref="AF15:AF20" si="32">IF(ISERROR($D15/12),"",$D15/12)</f>
        <v>83.333333333333329</v>
      </c>
      <c r="AG15" s="493">
        <v>102</v>
      </c>
      <c r="AH15" s="15">
        <f t="shared" si="15"/>
        <v>1.224</v>
      </c>
      <c r="AI15" s="14">
        <f t="shared" ref="AI15:AI20" si="33">IF(ISERROR($D15/12),"",$D15/12)</f>
        <v>83.333333333333329</v>
      </c>
      <c r="AJ15" s="261">
        <v>147</v>
      </c>
      <c r="AK15" s="15">
        <f t="shared" si="16"/>
        <v>1.764</v>
      </c>
      <c r="AL15" s="14">
        <f t="shared" si="17"/>
        <v>250</v>
      </c>
      <c r="AM15" s="483">
        <f t="shared" si="17"/>
        <v>354</v>
      </c>
      <c r="AN15" s="15">
        <f t="shared" si="18"/>
        <v>1.4159999999999999</v>
      </c>
      <c r="AO15" s="14">
        <f t="shared" ref="AO15:AO20" si="34">IF(ISERROR($D15/12),"",$D15/12)</f>
        <v>83.333333333333329</v>
      </c>
      <c r="AP15" s="263">
        <v>96</v>
      </c>
      <c r="AQ15" s="15">
        <f t="shared" si="19"/>
        <v>1.1520000000000001</v>
      </c>
      <c r="AR15" s="14">
        <f t="shared" ref="AR15:AR20" si="35">IF(ISERROR($D15/12),"",$D15/12)</f>
        <v>83.333333333333329</v>
      </c>
      <c r="AS15" s="263">
        <v>118</v>
      </c>
      <c r="AT15" s="15">
        <f t="shared" si="20"/>
        <v>1.4160000000000001</v>
      </c>
      <c r="AU15" s="14">
        <f t="shared" ref="AU15:AU20" si="36">IF(ISERROR($D15/12),"",$D15/12)</f>
        <v>83.333333333333329</v>
      </c>
      <c r="AV15" s="263">
        <v>78</v>
      </c>
      <c r="AW15" s="15">
        <f t="shared" si="21"/>
        <v>0.93600000000000005</v>
      </c>
      <c r="AX15" s="259">
        <f t="shared" si="22"/>
        <v>250</v>
      </c>
      <c r="AY15" s="481">
        <f t="shared" ref="AY15:AY20" si="37">SUM(AP15,AS15,AV15)</f>
        <v>292</v>
      </c>
      <c r="AZ15" s="15">
        <f t="shared" si="23"/>
        <v>1.1679999999999999</v>
      </c>
      <c r="BA15" s="259">
        <f t="shared" ref="BA15:BA20" si="38">D15</f>
        <v>1000</v>
      </c>
      <c r="BB15" s="259">
        <v>1254</v>
      </c>
      <c r="BC15" s="345">
        <f t="shared" si="24"/>
        <v>1.254</v>
      </c>
    </row>
    <row r="16" spans="1:55" ht="24.75" customHeight="1" x14ac:dyDescent="0.2">
      <c r="A16" s="1244"/>
      <c r="B16" s="209" t="s">
        <v>43</v>
      </c>
      <c r="C16" s="13" t="s">
        <v>294</v>
      </c>
      <c r="D16" s="479">
        <f>'17_Prog_Produc_2011'!G12</f>
        <v>450</v>
      </c>
      <c r="E16" s="14">
        <f t="shared" si="25"/>
        <v>37.5</v>
      </c>
      <c r="F16" s="261">
        <v>35</v>
      </c>
      <c r="G16" s="35">
        <f t="shared" si="4"/>
        <v>0.93333333333333335</v>
      </c>
      <c r="H16" s="14">
        <f t="shared" si="26"/>
        <v>37.5</v>
      </c>
      <c r="I16" s="263">
        <v>26</v>
      </c>
      <c r="J16" s="35">
        <f t="shared" si="5"/>
        <v>0.69333333333333336</v>
      </c>
      <c r="K16" s="14">
        <f t="shared" si="27"/>
        <v>37.5</v>
      </c>
      <c r="L16" s="263">
        <v>45</v>
      </c>
      <c r="M16" s="35">
        <f t="shared" si="6"/>
        <v>1.2</v>
      </c>
      <c r="N16" s="259">
        <f t="shared" si="7"/>
        <v>112.5</v>
      </c>
      <c r="O16" s="483">
        <f t="shared" si="7"/>
        <v>106</v>
      </c>
      <c r="P16" s="15">
        <f t="shared" si="8"/>
        <v>0.94222222222222218</v>
      </c>
      <c r="Q16" s="14">
        <f t="shared" si="28"/>
        <v>37.5</v>
      </c>
      <c r="R16" s="263">
        <v>37</v>
      </c>
      <c r="S16" s="15">
        <f t="shared" si="9"/>
        <v>0.98666666666666669</v>
      </c>
      <c r="T16" s="14">
        <f t="shared" si="29"/>
        <v>37.5</v>
      </c>
      <c r="U16" s="261">
        <v>36</v>
      </c>
      <c r="V16" s="15">
        <f t="shared" si="10"/>
        <v>0.96</v>
      </c>
      <c r="W16" s="14">
        <f t="shared" si="30"/>
        <v>37.5</v>
      </c>
      <c r="X16" s="263">
        <v>52</v>
      </c>
      <c r="Y16" s="15">
        <f t="shared" si="11"/>
        <v>1.3866666666666667</v>
      </c>
      <c r="Z16" s="259">
        <f t="shared" si="12"/>
        <v>112.5</v>
      </c>
      <c r="AA16" s="481">
        <f t="shared" si="12"/>
        <v>125</v>
      </c>
      <c r="AB16" s="15">
        <f t="shared" si="13"/>
        <v>1.1111111111111112</v>
      </c>
      <c r="AC16" s="14">
        <f t="shared" si="31"/>
        <v>37.5</v>
      </c>
      <c r="AD16" s="263">
        <v>41</v>
      </c>
      <c r="AE16" s="15">
        <f t="shared" si="14"/>
        <v>1.0933333333333333</v>
      </c>
      <c r="AF16" s="14">
        <f t="shared" si="32"/>
        <v>37.5</v>
      </c>
      <c r="AG16" s="493">
        <v>35</v>
      </c>
      <c r="AH16" s="15">
        <f t="shared" si="15"/>
        <v>0.93333333333333335</v>
      </c>
      <c r="AI16" s="14">
        <f t="shared" si="33"/>
        <v>37.5</v>
      </c>
      <c r="AJ16" s="261">
        <v>44</v>
      </c>
      <c r="AK16" s="15">
        <f t="shared" si="16"/>
        <v>1.1733333333333333</v>
      </c>
      <c r="AL16" s="14">
        <f t="shared" si="17"/>
        <v>112.5</v>
      </c>
      <c r="AM16" s="483">
        <f t="shared" si="17"/>
        <v>120</v>
      </c>
      <c r="AN16" s="15">
        <f t="shared" si="18"/>
        <v>1.0666666666666667</v>
      </c>
      <c r="AO16" s="14">
        <f t="shared" si="34"/>
        <v>37.5</v>
      </c>
      <c r="AP16" s="263">
        <v>32</v>
      </c>
      <c r="AQ16" s="15">
        <f t="shared" si="19"/>
        <v>0.85333333333333339</v>
      </c>
      <c r="AR16" s="14">
        <f t="shared" si="35"/>
        <v>37.5</v>
      </c>
      <c r="AS16" s="263">
        <v>29</v>
      </c>
      <c r="AT16" s="15">
        <f t="shared" si="20"/>
        <v>0.77333333333333332</v>
      </c>
      <c r="AU16" s="14">
        <f t="shared" si="36"/>
        <v>37.5</v>
      </c>
      <c r="AV16" s="263">
        <v>21</v>
      </c>
      <c r="AW16" s="15">
        <f t="shared" si="21"/>
        <v>0.56000000000000005</v>
      </c>
      <c r="AX16" s="259">
        <f t="shared" si="22"/>
        <v>112.5</v>
      </c>
      <c r="AY16" s="481">
        <f t="shared" si="37"/>
        <v>82</v>
      </c>
      <c r="AZ16" s="15">
        <f t="shared" si="23"/>
        <v>0.72888888888888892</v>
      </c>
      <c r="BA16" s="259">
        <f t="shared" si="38"/>
        <v>450</v>
      </c>
      <c r="BB16" s="259">
        <v>436</v>
      </c>
      <c r="BC16" s="345">
        <f t="shared" si="24"/>
        <v>0.96888888888888891</v>
      </c>
    </row>
    <row r="17" spans="1:55" ht="24.75" customHeight="1" x14ac:dyDescent="0.2">
      <c r="A17" s="1244"/>
      <c r="B17" s="209" t="s">
        <v>44</v>
      </c>
      <c r="C17" s="13" t="s">
        <v>294</v>
      </c>
      <c r="D17" s="479">
        <f>'17_Prog_Produc_2011'!G13</f>
        <v>1500</v>
      </c>
      <c r="E17" s="14">
        <f t="shared" si="25"/>
        <v>125</v>
      </c>
      <c r="F17" s="261">
        <v>136</v>
      </c>
      <c r="G17" s="35">
        <f t="shared" si="4"/>
        <v>1.0880000000000001</v>
      </c>
      <c r="H17" s="14">
        <f t="shared" si="26"/>
        <v>125</v>
      </c>
      <c r="I17" s="263">
        <v>126</v>
      </c>
      <c r="J17" s="35">
        <f t="shared" si="5"/>
        <v>1.008</v>
      </c>
      <c r="K17" s="14">
        <f t="shared" si="27"/>
        <v>125</v>
      </c>
      <c r="L17" s="263">
        <v>129</v>
      </c>
      <c r="M17" s="35">
        <f t="shared" si="6"/>
        <v>1.032</v>
      </c>
      <c r="N17" s="259">
        <f t="shared" si="7"/>
        <v>375</v>
      </c>
      <c r="O17" s="483">
        <f t="shared" si="7"/>
        <v>391</v>
      </c>
      <c r="P17" s="15">
        <f t="shared" si="8"/>
        <v>1.0426666666666666</v>
      </c>
      <c r="Q17" s="14">
        <f t="shared" si="28"/>
        <v>125</v>
      </c>
      <c r="R17" s="263">
        <v>115</v>
      </c>
      <c r="S17" s="15">
        <f t="shared" si="9"/>
        <v>0.92</v>
      </c>
      <c r="T17" s="14">
        <f t="shared" si="29"/>
        <v>125</v>
      </c>
      <c r="U17" s="261">
        <v>122</v>
      </c>
      <c r="V17" s="15">
        <f t="shared" si="10"/>
        <v>0.97599999999999998</v>
      </c>
      <c r="W17" s="14">
        <f t="shared" si="30"/>
        <v>125</v>
      </c>
      <c r="X17" s="263">
        <v>125</v>
      </c>
      <c r="Y17" s="15">
        <f t="shared" si="11"/>
        <v>1</v>
      </c>
      <c r="Z17" s="259">
        <f t="shared" si="12"/>
        <v>375</v>
      </c>
      <c r="AA17" s="481">
        <f t="shared" si="12"/>
        <v>362</v>
      </c>
      <c r="AB17" s="15">
        <f t="shared" si="13"/>
        <v>0.96533333333333338</v>
      </c>
      <c r="AC17" s="14">
        <f t="shared" si="31"/>
        <v>125</v>
      </c>
      <c r="AD17" s="263">
        <v>131</v>
      </c>
      <c r="AE17" s="15">
        <f t="shared" si="14"/>
        <v>1.048</v>
      </c>
      <c r="AF17" s="14">
        <f t="shared" si="32"/>
        <v>125</v>
      </c>
      <c r="AG17" s="493">
        <v>121</v>
      </c>
      <c r="AH17" s="15">
        <f t="shared" si="15"/>
        <v>0.96799999999999997</v>
      </c>
      <c r="AI17" s="14">
        <f t="shared" si="33"/>
        <v>125</v>
      </c>
      <c r="AJ17" s="261">
        <v>140</v>
      </c>
      <c r="AK17" s="15">
        <f t="shared" si="16"/>
        <v>1.1200000000000001</v>
      </c>
      <c r="AL17" s="14">
        <f t="shared" si="17"/>
        <v>375</v>
      </c>
      <c r="AM17" s="483">
        <f t="shared" si="17"/>
        <v>392</v>
      </c>
      <c r="AN17" s="15">
        <f t="shared" si="18"/>
        <v>1.0453333333333332</v>
      </c>
      <c r="AO17" s="14">
        <f t="shared" si="34"/>
        <v>125</v>
      </c>
      <c r="AP17" s="263">
        <v>129</v>
      </c>
      <c r="AQ17" s="15">
        <f t="shared" si="19"/>
        <v>1.032</v>
      </c>
      <c r="AR17" s="14">
        <f t="shared" si="35"/>
        <v>125</v>
      </c>
      <c r="AS17" s="263">
        <v>121</v>
      </c>
      <c r="AT17" s="15">
        <f t="shared" si="20"/>
        <v>0.96799999999999997</v>
      </c>
      <c r="AU17" s="14">
        <f t="shared" si="36"/>
        <v>125</v>
      </c>
      <c r="AV17" s="263">
        <v>111</v>
      </c>
      <c r="AW17" s="15">
        <f t="shared" si="21"/>
        <v>0.88800000000000001</v>
      </c>
      <c r="AX17" s="259">
        <f t="shared" si="22"/>
        <v>375</v>
      </c>
      <c r="AY17" s="481">
        <f t="shared" si="37"/>
        <v>361</v>
      </c>
      <c r="AZ17" s="15">
        <f t="shared" si="23"/>
        <v>0.96266666666666667</v>
      </c>
      <c r="BA17" s="259">
        <f t="shared" si="38"/>
        <v>1500</v>
      </c>
      <c r="BB17" s="259">
        <v>1504</v>
      </c>
      <c r="BC17" s="345">
        <f t="shared" si="24"/>
        <v>1.0026666666666666</v>
      </c>
    </row>
    <row r="18" spans="1:55" ht="24.75" customHeight="1" x14ac:dyDescent="0.2">
      <c r="A18" s="1244"/>
      <c r="B18" s="209" t="s">
        <v>45</v>
      </c>
      <c r="C18" s="13" t="s">
        <v>294</v>
      </c>
      <c r="D18" s="479">
        <f>'17_Prog_Produc_2011'!G14</f>
        <v>1250</v>
      </c>
      <c r="E18" s="14">
        <f t="shared" si="25"/>
        <v>104.16666666666667</v>
      </c>
      <c r="F18" s="261">
        <v>68</v>
      </c>
      <c r="G18" s="35">
        <f t="shared" si="4"/>
        <v>0.65279999999999994</v>
      </c>
      <c r="H18" s="14">
        <f t="shared" si="26"/>
        <v>104.16666666666667</v>
      </c>
      <c r="I18" s="263">
        <v>72</v>
      </c>
      <c r="J18" s="35">
        <f t="shared" si="5"/>
        <v>0.69119999999999993</v>
      </c>
      <c r="K18" s="14">
        <f t="shared" si="27"/>
        <v>104.16666666666667</v>
      </c>
      <c r="L18" s="263">
        <v>151</v>
      </c>
      <c r="M18" s="35">
        <f t="shared" si="6"/>
        <v>1.4496</v>
      </c>
      <c r="N18" s="259">
        <f t="shared" si="7"/>
        <v>312.5</v>
      </c>
      <c r="O18" s="483">
        <f t="shared" si="7"/>
        <v>291</v>
      </c>
      <c r="P18" s="15">
        <f t="shared" si="8"/>
        <v>0.93120000000000003</v>
      </c>
      <c r="Q18" s="14">
        <f t="shared" si="28"/>
        <v>104.16666666666667</v>
      </c>
      <c r="R18" s="263">
        <v>106</v>
      </c>
      <c r="S18" s="15">
        <f t="shared" si="9"/>
        <v>1.0176000000000001</v>
      </c>
      <c r="T18" s="14">
        <f t="shared" si="29"/>
        <v>104.16666666666667</v>
      </c>
      <c r="U18" s="261">
        <v>124</v>
      </c>
      <c r="V18" s="15">
        <f t="shared" si="10"/>
        <v>1.1903999999999999</v>
      </c>
      <c r="W18" s="14">
        <f t="shared" si="30"/>
        <v>104.16666666666667</v>
      </c>
      <c r="X18" s="263">
        <v>130</v>
      </c>
      <c r="Y18" s="15">
        <f t="shared" si="11"/>
        <v>1.248</v>
      </c>
      <c r="Z18" s="259">
        <f t="shared" si="12"/>
        <v>312.5</v>
      </c>
      <c r="AA18" s="481">
        <f t="shared" si="12"/>
        <v>360</v>
      </c>
      <c r="AB18" s="15">
        <f t="shared" si="13"/>
        <v>1.1519999999999999</v>
      </c>
      <c r="AC18" s="14">
        <f t="shared" si="31"/>
        <v>104.16666666666667</v>
      </c>
      <c r="AD18" s="263">
        <v>175</v>
      </c>
      <c r="AE18" s="15">
        <f t="shared" si="14"/>
        <v>1.68</v>
      </c>
      <c r="AF18" s="14">
        <f t="shared" si="32"/>
        <v>104.16666666666667</v>
      </c>
      <c r="AG18" s="493">
        <v>134</v>
      </c>
      <c r="AH18" s="15">
        <f t="shared" si="15"/>
        <v>1.2864</v>
      </c>
      <c r="AI18" s="14">
        <f t="shared" si="33"/>
        <v>104.16666666666667</v>
      </c>
      <c r="AJ18" s="261">
        <v>96</v>
      </c>
      <c r="AK18" s="15">
        <f t="shared" si="16"/>
        <v>0.92159999999999997</v>
      </c>
      <c r="AL18" s="14">
        <f t="shared" si="17"/>
        <v>312.5</v>
      </c>
      <c r="AM18" s="483">
        <f t="shared" si="17"/>
        <v>405</v>
      </c>
      <c r="AN18" s="15">
        <f t="shared" si="18"/>
        <v>1.296</v>
      </c>
      <c r="AO18" s="14">
        <f t="shared" si="34"/>
        <v>104.16666666666667</v>
      </c>
      <c r="AP18" s="263">
        <v>103</v>
      </c>
      <c r="AQ18" s="15">
        <f t="shared" si="19"/>
        <v>0.9887999999999999</v>
      </c>
      <c r="AR18" s="14">
        <f t="shared" si="35"/>
        <v>104.16666666666667</v>
      </c>
      <c r="AS18" s="263">
        <v>92</v>
      </c>
      <c r="AT18" s="15">
        <f t="shared" si="20"/>
        <v>0.88319999999999999</v>
      </c>
      <c r="AU18" s="14">
        <f t="shared" si="36"/>
        <v>104.16666666666667</v>
      </c>
      <c r="AV18" s="263">
        <v>112</v>
      </c>
      <c r="AW18" s="15">
        <f t="shared" si="21"/>
        <v>1.0751999999999999</v>
      </c>
      <c r="AX18" s="259">
        <f t="shared" si="22"/>
        <v>312.5</v>
      </c>
      <c r="AY18" s="481">
        <f t="shared" si="37"/>
        <v>307</v>
      </c>
      <c r="AZ18" s="15">
        <f t="shared" si="23"/>
        <v>0.98240000000000005</v>
      </c>
      <c r="BA18" s="259">
        <f t="shared" si="38"/>
        <v>1250</v>
      </c>
      <c r="BB18" s="259">
        <v>1352</v>
      </c>
      <c r="BC18" s="345">
        <f t="shared" si="24"/>
        <v>1.0815999999999999</v>
      </c>
    </row>
    <row r="19" spans="1:55" ht="24.75" customHeight="1" x14ac:dyDescent="0.2">
      <c r="A19" s="1244"/>
      <c r="B19" s="209" t="s">
        <v>46</v>
      </c>
      <c r="C19" s="13" t="s">
        <v>294</v>
      </c>
      <c r="D19" s="479">
        <f>'17_Prog_Produc_2011'!G15</f>
        <v>300</v>
      </c>
      <c r="E19" s="14">
        <f t="shared" si="25"/>
        <v>25</v>
      </c>
      <c r="F19" s="261">
        <v>27</v>
      </c>
      <c r="G19" s="35">
        <f t="shared" si="4"/>
        <v>1.08</v>
      </c>
      <c r="H19" s="14">
        <f t="shared" si="26"/>
        <v>25</v>
      </c>
      <c r="I19" s="263">
        <v>29</v>
      </c>
      <c r="J19" s="35">
        <f t="shared" si="5"/>
        <v>1.1599999999999999</v>
      </c>
      <c r="K19" s="14">
        <f t="shared" si="27"/>
        <v>25</v>
      </c>
      <c r="L19" s="263">
        <v>34</v>
      </c>
      <c r="M19" s="35">
        <f t="shared" si="6"/>
        <v>1.36</v>
      </c>
      <c r="N19" s="259">
        <f t="shared" si="7"/>
        <v>75</v>
      </c>
      <c r="O19" s="483">
        <f t="shared" si="7"/>
        <v>90</v>
      </c>
      <c r="P19" s="15">
        <f t="shared" si="8"/>
        <v>1.2</v>
      </c>
      <c r="Q19" s="14">
        <f t="shared" si="28"/>
        <v>25</v>
      </c>
      <c r="R19" s="263">
        <v>33</v>
      </c>
      <c r="S19" s="15">
        <f t="shared" si="9"/>
        <v>1.32</v>
      </c>
      <c r="T19" s="14">
        <f t="shared" si="29"/>
        <v>25</v>
      </c>
      <c r="U19" s="261">
        <v>20</v>
      </c>
      <c r="V19" s="15">
        <f t="shared" si="10"/>
        <v>0.8</v>
      </c>
      <c r="W19" s="14">
        <f t="shared" si="30"/>
        <v>25</v>
      </c>
      <c r="X19" s="263">
        <v>31</v>
      </c>
      <c r="Y19" s="15">
        <f t="shared" si="11"/>
        <v>1.24</v>
      </c>
      <c r="Z19" s="259">
        <f t="shared" si="12"/>
        <v>75</v>
      </c>
      <c r="AA19" s="481">
        <f t="shared" si="12"/>
        <v>84</v>
      </c>
      <c r="AB19" s="15">
        <f t="shared" si="13"/>
        <v>1.1200000000000001</v>
      </c>
      <c r="AC19" s="14">
        <f t="shared" si="31"/>
        <v>25</v>
      </c>
      <c r="AD19" s="263">
        <v>20</v>
      </c>
      <c r="AE19" s="15">
        <f t="shared" si="14"/>
        <v>0.8</v>
      </c>
      <c r="AF19" s="14">
        <f t="shared" si="32"/>
        <v>25</v>
      </c>
      <c r="AG19" s="493">
        <v>21</v>
      </c>
      <c r="AH19" s="15">
        <f t="shared" si="15"/>
        <v>0.84</v>
      </c>
      <c r="AI19" s="14">
        <f t="shared" si="33"/>
        <v>25</v>
      </c>
      <c r="AJ19" s="261">
        <v>22</v>
      </c>
      <c r="AK19" s="15">
        <f t="shared" si="16"/>
        <v>0.88</v>
      </c>
      <c r="AL19" s="14">
        <f t="shared" si="17"/>
        <v>75</v>
      </c>
      <c r="AM19" s="483">
        <f t="shared" si="17"/>
        <v>63</v>
      </c>
      <c r="AN19" s="15">
        <f t="shared" si="18"/>
        <v>0.84</v>
      </c>
      <c r="AO19" s="14">
        <f t="shared" si="34"/>
        <v>25</v>
      </c>
      <c r="AP19" s="263">
        <v>33</v>
      </c>
      <c r="AQ19" s="15">
        <f t="shared" si="19"/>
        <v>1.32</v>
      </c>
      <c r="AR19" s="14">
        <f t="shared" si="35"/>
        <v>25</v>
      </c>
      <c r="AS19" s="263">
        <v>20</v>
      </c>
      <c r="AT19" s="15">
        <f t="shared" si="20"/>
        <v>0.8</v>
      </c>
      <c r="AU19" s="14">
        <f t="shared" si="36"/>
        <v>25</v>
      </c>
      <c r="AV19" s="263">
        <v>22</v>
      </c>
      <c r="AW19" s="15">
        <f t="shared" si="21"/>
        <v>0.88</v>
      </c>
      <c r="AX19" s="259">
        <f t="shared" si="22"/>
        <v>75</v>
      </c>
      <c r="AY19" s="481">
        <f t="shared" si="37"/>
        <v>75</v>
      </c>
      <c r="AZ19" s="15">
        <f t="shared" si="23"/>
        <v>1</v>
      </c>
      <c r="BA19" s="259">
        <f t="shared" si="38"/>
        <v>300</v>
      </c>
      <c r="BB19" s="259">
        <v>300</v>
      </c>
      <c r="BC19" s="345">
        <f t="shared" si="24"/>
        <v>1</v>
      </c>
    </row>
    <row r="20" spans="1:55" ht="24.75" customHeight="1" x14ac:dyDescent="0.2">
      <c r="A20" s="1244"/>
      <c r="B20" s="209" t="s">
        <v>59</v>
      </c>
      <c r="C20" s="13" t="s">
        <v>294</v>
      </c>
      <c r="D20" s="479">
        <f>'17_Prog_Produc_2011'!G16</f>
        <v>0</v>
      </c>
      <c r="E20" s="14">
        <f t="shared" si="25"/>
        <v>0</v>
      </c>
      <c r="F20" s="263"/>
      <c r="G20" s="35" t="str">
        <f t="shared" si="4"/>
        <v/>
      </c>
      <c r="H20" s="14">
        <f t="shared" si="26"/>
        <v>0</v>
      </c>
      <c r="I20" s="263"/>
      <c r="J20" s="35" t="str">
        <f t="shared" si="5"/>
        <v/>
      </c>
      <c r="K20" s="14">
        <f t="shared" si="27"/>
        <v>0</v>
      </c>
      <c r="L20" s="263"/>
      <c r="M20" s="35" t="str">
        <f t="shared" si="6"/>
        <v/>
      </c>
      <c r="N20" s="259">
        <f t="shared" si="7"/>
        <v>0</v>
      </c>
      <c r="O20" s="483">
        <f t="shared" si="7"/>
        <v>0</v>
      </c>
      <c r="P20" s="15" t="str">
        <f t="shared" si="8"/>
        <v/>
      </c>
      <c r="Q20" s="14">
        <f t="shared" si="28"/>
        <v>0</v>
      </c>
      <c r="R20" s="263">
        <v>1</v>
      </c>
      <c r="S20" s="15" t="str">
        <f t="shared" si="9"/>
        <v/>
      </c>
      <c r="T20" s="14">
        <f t="shared" si="29"/>
        <v>0</v>
      </c>
      <c r="U20" s="263">
        <v>1</v>
      </c>
      <c r="V20" s="15" t="str">
        <f t="shared" si="10"/>
        <v/>
      </c>
      <c r="W20" s="14">
        <f t="shared" si="30"/>
        <v>0</v>
      </c>
      <c r="X20" s="263"/>
      <c r="Y20" s="15" t="str">
        <f t="shared" si="11"/>
        <v/>
      </c>
      <c r="Z20" s="259">
        <f t="shared" si="12"/>
        <v>0</v>
      </c>
      <c r="AA20" s="481">
        <f t="shared" si="12"/>
        <v>2</v>
      </c>
      <c r="AB20" s="15" t="str">
        <f t="shared" si="13"/>
        <v/>
      </c>
      <c r="AC20" s="14">
        <f t="shared" si="31"/>
        <v>0</v>
      </c>
      <c r="AD20" s="263"/>
      <c r="AE20" s="15" t="str">
        <f t="shared" si="14"/>
        <v/>
      </c>
      <c r="AF20" s="14">
        <f t="shared" si="32"/>
        <v>0</v>
      </c>
      <c r="AG20" s="493">
        <v>3</v>
      </c>
      <c r="AH20" s="15" t="str">
        <f t="shared" si="15"/>
        <v/>
      </c>
      <c r="AI20" s="14">
        <f t="shared" si="33"/>
        <v>0</v>
      </c>
      <c r="AJ20" s="263"/>
      <c r="AK20" s="15" t="str">
        <f t="shared" si="16"/>
        <v/>
      </c>
      <c r="AL20" s="14">
        <f t="shared" si="17"/>
        <v>0</v>
      </c>
      <c r="AM20" s="483">
        <f t="shared" si="17"/>
        <v>3</v>
      </c>
      <c r="AN20" s="15" t="str">
        <f t="shared" si="18"/>
        <v/>
      </c>
      <c r="AO20" s="14">
        <f t="shared" si="34"/>
        <v>0</v>
      </c>
      <c r="AP20" s="263"/>
      <c r="AQ20" s="15" t="str">
        <f t="shared" si="19"/>
        <v/>
      </c>
      <c r="AR20" s="14">
        <f t="shared" si="35"/>
        <v>0</v>
      </c>
      <c r="AS20" s="263"/>
      <c r="AT20" s="15" t="str">
        <f t="shared" si="20"/>
        <v/>
      </c>
      <c r="AU20" s="14">
        <f t="shared" si="36"/>
        <v>0</v>
      </c>
      <c r="AV20" s="263"/>
      <c r="AW20" s="15" t="str">
        <f t="shared" si="21"/>
        <v/>
      </c>
      <c r="AX20" s="259">
        <f t="shared" si="22"/>
        <v>0</v>
      </c>
      <c r="AY20" s="481">
        <f t="shared" si="37"/>
        <v>0</v>
      </c>
      <c r="AZ20" s="15" t="str">
        <f t="shared" si="23"/>
        <v/>
      </c>
      <c r="BA20" s="259">
        <f t="shared" si="38"/>
        <v>0</v>
      </c>
      <c r="BB20" s="259"/>
      <c r="BC20" s="345" t="str">
        <f t="shared" si="24"/>
        <v/>
      </c>
    </row>
    <row r="21" spans="1:55" ht="24.75" customHeight="1" x14ac:dyDescent="0.2">
      <c r="A21" s="1244"/>
      <c r="B21" s="247" t="s">
        <v>49</v>
      </c>
      <c r="C21" s="13" t="s">
        <v>294</v>
      </c>
      <c r="D21" s="16">
        <f>SUM(D14:D20)</f>
        <v>5750</v>
      </c>
      <c r="E21" s="17">
        <f>SUM(E14:E20)</f>
        <v>479.16666666666669</v>
      </c>
      <c r="F21" s="17">
        <f>SUM(F14:F20)</f>
        <v>461</v>
      </c>
      <c r="G21" s="36">
        <f t="shared" si="4"/>
        <v>0.96208695652173915</v>
      </c>
      <c r="H21" s="17">
        <f>SUM(H14:H20)</f>
        <v>479.16666666666669</v>
      </c>
      <c r="I21" s="17">
        <f>SUM(I14:I20)</f>
        <v>428</v>
      </c>
      <c r="J21" s="36">
        <f t="shared" si="5"/>
        <v>0.89321739130434774</v>
      </c>
      <c r="K21" s="17">
        <f>SUM(K14:K20)</f>
        <v>479.16666666666669</v>
      </c>
      <c r="L21" s="17">
        <f>SUM(L14:L20)</f>
        <v>577</v>
      </c>
      <c r="M21" s="36">
        <f t="shared" si="6"/>
        <v>1.2041739130434783</v>
      </c>
      <c r="N21" s="17">
        <f>SUM(N14:N20)</f>
        <v>1437.5</v>
      </c>
      <c r="O21" s="17">
        <f>SUM(O14:O20)</f>
        <v>1466</v>
      </c>
      <c r="P21" s="18">
        <f t="shared" si="8"/>
        <v>1.0198260869565217</v>
      </c>
      <c r="Q21" s="17">
        <f>SUM(Q14:Q20)</f>
        <v>479.16666666666669</v>
      </c>
      <c r="R21" s="17">
        <f>SUM(R14:R20)</f>
        <v>440</v>
      </c>
      <c r="S21" s="18">
        <f t="shared" si="9"/>
        <v>0.91826086956521735</v>
      </c>
      <c r="T21" s="17">
        <f>SUM(T14:T20)</f>
        <v>479.16666666666669</v>
      </c>
      <c r="U21" s="17">
        <f>SUM(U14:U20)</f>
        <v>465</v>
      </c>
      <c r="V21" s="18">
        <f t="shared" si="10"/>
        <v>0.97043478260869565</v>
      </c>
      <c r="W21" s="17">
        <f>SUM(W14:W20)</f>
        <v>479.16666666666669</v>
      </c>
      <c r="X21" s="17">
        <f>SUM(X14:X20)</f>
        <v>501</v>
      </c>
      <c r="Y21" s="18">
        <f t="shared" si="11"/>
        <v>1.0455652173913044</v>
      </c>
      <c r="Z21" s="17">
        <f>SUM(Z14:Z20)</f>
        <v>1437.5</v>
      </c>
      <c r="AA21" s="17">
        <f>SUM(AA14:AA20)</f>
        <v>1406</v>
      </c>
      <c r="AB21" s="18">
        <f t="shared" si="13"/>
        <v>0.97808695652173916</v>
      </c>
      <c r="AC21" s="17">
        <f>SUM(AC14:AC20)</f>
        <v>479.16666666666669</v>
      </c>
      <c r="AD21" s="17">
        <f>SUM(AD14:AD20)</f>
        <v>539</v>
      </c>
      <c r="AE21" s="18">
        <f t="shared" si="14"/>
        <v>1.1248695652173912</v>
      </c>
      <c r="AF21" s="17">
        <f>SUM(AF14:AF20)</f>
        <v>479.16666666666669</v>
      </c>
      <c r="AG21" s="17">
        <f>SUM(AG14:AG20)</f>
        <v>490</v>
      </c>
      <c r="AH21" s="18">
        <f t="shared" si="15"/>
        <v>1.0226086956521738</v>
      </c>
      <c r="AI21" s="17">
        <f>SUM(AI14:AI20)</f>
        <v>479.16666666666669</v>
      </c>
      <c r="AJ21" s="17">
        <f>SUM(AJ14:AJ20)</f>
        <v>567</v>
      </c>
      <c r="AK21" s="18">
        <f t="shared" si="16"/>
        <v>1.183304347826087</v>
      </c>
      <c r="AL21" s="17">
        <f>SUM(AL14:AL20)</f>
        <v>1437.5</v>
      </c>
      <c r="AM21" s="17">
        <f>SUM(AM14:AM20)</f>
        <v>1596</v>
      </c>
      <c r="AN21" s="18">
        <f t="shared" si="18"/>
        <v>1.1102608695652174</v>
      </c>
      <c r="AO21" s="17">
        <f>SUM(AO14:AO20)</f>
        <v>479.16666666666669</v>
      </c>
      <c r="AP21" s="17">
        <f>SUM(AP14:AP20)</f>
        <v>488</v>
      </c>
      <c r="AQ21" s="18">
        <f t="shared" si="19"/>
        <v>1.0184347826086957</v>
      </c>
      <c r="AR21" s="17">
        <f>SUM(AR14:AR20)</f>
        <v>479.16666666666669</v>
      </c>
      <c r="AS21" s="17">
        <f>SUM(AS14:AS20)</f>
        <v>484</v>
      </c>
      <c r="AT21" s="18">
        <f t="shared" si="20"/>
        <v>1.0100869565217392</v>
      </c>
      <c r="AU21" s="17">
        <f>SUM(AU14:AU20)</f>
        <v>479.16666666666669</v>
      </c>
      <c r="AV21" s="17">
        <f>SUM(AV14:AV20)</f>
        <v>404</v>
      </c>
      <c r="AW21" s="18">
        <f t="shared" si="21"/>
        <v>0.84313043478260863</v>
      </c>
      <c r="AX21" s="17">
        <f>SUM(AX14:AX20)</f>
        <v>1437.5</v>
      </c>
      <c r="AY21" s="17">
        <f>SUM(AY14:AY20)</f>
        <v>1376</v>
      </c>
      <c r="AZ21" s="18">
        <f t="shared" si="23"/>
        <v>0.9572173913043478</v>
      </c>
      <c r="BA21" s="17">
        <f>SUM(BA14:BA20)</f>
        <v>5750</v>
      </c>
      <c r="BB21" s="17">
        <f>SUM(BB14:BB20)</f>
        <v>5833</v>
      </c>
      <c r="BC21" s="346">
        <f t="shared" si="24"/>
        <v>1.0144347826086957</v>
      </c>
    </row>
    <row r="22" spans="1:55" ht="24.75" customHeight="1" x14ac:dyDescent="0.2">
      <c r="A22" s="1244"/>
      <c r="B22" s="246" t="s">
        <v>370</v>
      </c>
      <c r="C22" s="19"/>
      <c r="D22" s="21"/>
      <c r="E22" s="14"/>
      <c r="F22" s="21"/>
      <c r="G22" s="37"/>
      <c r="H22" s="14"/>
      <c r="I22" s="21"/>
      <c r="J22" s="37"/>
      <c r="K22" s="14"/>
      <c r="L22" s="21"/>
      <c r="M22" s="37"/>
      <c r="N22" s="14"/>
      <c r="O22" s="21"/>
      <c r="P22" s="20"/>
      <c r="Q22" s="14"/>
      <c r="R22" s="14"/>
      <c r="S22" s="20"/>
      <c r="T22" s="14"/>
      <c r="U22" s="21"/>
      <c r="V22" s="20"/>
      <c r="W22" s="14"/>
      <c r="X22" s="21"/>
      <c r="Y22" s="20"/>
      <c r="Z22" s="14"/>
      <c r="AA22" s="21"/>
      <c r="AB22" s="20"/>
      <c r="AC22" s="14"/>
      <c r="AD22" s="21"/>
      <c r="AE22" s="20"/>
      <c r="AF22" s="14"/>
      <c r="AG22" s="14"/>
      <c r="AH22" s="20"/>
      <c r="AI22" s="14"/>
      <c r="AJ22" s="21"/>
      <c r="AK22" s="20"/>
      <c r="AL22" s="14"/>
      <c r="AM22" s="21"/>
      <c r="AN22" s="20"/>
      <c r="AO22" s="14"/>
      <c r="AP22" s="21"/>
      <c r="AQ22" s="20"/>
      <c r="AR22" s="14"/>
      <c r="AS22" s="21"/>
      <c r="AT22" s="20"/>
      <c r="AU22" s="14"/>
      <c r="AV22" s="14"/>
      <c r="AW22" s="20"/>
      <c r="AX22" s="14"/>
      <c r="AY22" s="21"/>
      <c r="AZ22" s="20"/>
      <c r="BA22" s="14"/>
      <c r="BB22" s="21"/>
      <c r="BC22" s="347"/>
    </row>
    <row r="23" spans="1:55" ht="24.75" customHeight="1" x14ac:dyDescent="0.2">
      <c r="A23" s="1244"/>
      <c r="B23" s="209" t="s">
        <v>371</v>
      </c>
      <c r="C23" s="22" t="s">
        <v>153</v>
      </c>
      <c r="D23" s="479">
        <f>'17_Prog_Produc_2011'!G19</f>
        <v>850</v>
      </c>
      <c r="E23" s="14">
        <f>IF(ISERROR($D23/12),"",$D23/12)</f>
        <v>70.833333333333329</v>
      </c>
      <c r="F23" s="261">
        <v>81</v>
      </c>
      <c r="G23" s="35">
        <f>IF(ISERROR(F23/E23),"",F23/E23)</f>
        <v>1.1435294117647059</v>
      </c>
      <c r="H23" s="14">
        <f>IF(ISERROR($D23/12),"",$D23/12)</f>
        <v>70.833333333333329</v>
      </c>
      <c r="I23" s="263">
        <v>82</v>
      </c>
      <c r="J23" s="35">
        <f>IF(ISERROR(I23/H23),"",I23/H23)</f>
        <v>1.1576470588235295</v>
      </c>
      <c r="K23" s="14">
        <f>IF(ISERROR($D23/12),"",$D23/12)</f>
        <v>70.833333333333329</v>
      </c>
      <c r="L23" s="263">
        <v>80</v>
      </c>
      <c r="M23" s="35">
        <f>IF(ISERROR(L23/K23),"",L23/K23)</f>
        <v>1.1294117647058823</v>
      </c>
      <c r="N23" s="259">
        <f>SUM(E23,H23,K23)</f>
        <v>212.5</v>
      </c>
      <c r="O23" s="483">
        <f>SUM(F23,I23,L23)</f>
        <v>243</v>
      </c>
      <c r="P23" s="15">
        <f>IF(ISERROR(O23/N23),"",O23/N23)</f>
        <v>1.1435294117647059</v>
      </c>
      <c r="Q23" s="14">
        <f>IF(ISERROR($D23/12),"",$D23/12)</f>
        <v>70.833333333333329</v>
      </c>
      <c r="R23" s="263">
        <v>65</v>
      </c>
      <c r="S23" s="15">
        <f>IF(ISERROR(R23/Q23),"",R23/Q23)</f>
        <v>0.91764705882352948</v>
      </c>
      <c r="T23" s="14">
        <f>IF(ISERROR($D23/12),"",$D23/12)</f>
        <v>70.833333333333329</v>
      </c>
      <c r="U23" s="261">
        <v>75</v>
      </c>
      <c r="V23" s="15">
        <f>IF(ISERROR(U23/T23),"",U23/T23)</f>
        <v>1.0588235294117647</v>
      </c>
      <c r="W23" s="14">
        <f>IF(ISERROR($D23/12),"",$D23/12)</f>
        <v>70.833333333333329</v>
      </c>
      <c r="X23" s="263">
        <v>78</v>
      </c>
      <c r="Y23" s="15">
        <f>IF(ISERROR(X23/W23),"",X23/W23)</f>
        <v>1.1011764705882354</v>
      </c>
      <c r="Z23" s="259">
        <f>SUM(Q23,T23,W23)</f>
        <v>212.5</v>
      </c>
      <c r="AA23" s="481">
        <f>SUM(R23,U23,X23)</f>
        <v>218</v>
      </c>
      <c r="AB23" s="15">
        <f>IF(ISERROR(AA23/Z23),"",AA23/Z23)</f>
        <v>1.0258823529411765</v>
      </c>
      <c r="AC23" s="14">
        <f>IF(ISERROR($D23/12),"",$D23/12)</f>
        <v>70.833333333333329</v>
      </c>
      <c r="AD23" s="263">
        <v>89</v>
      </c>
      <c r="AE23" s="15">
        <f>IF(ISERROR(AD23/AC23),"",AD23/AC23)</f>
        <v>1.2564705882352942</v>
      </c>
      <c r="AF23" s="14">
        <f>IF(ISERROR($D23/12),"",$D23/12)</f>
        <v>70.833333333333329</v>
      </c>
      <c r="AG23" s="493">
        <v>81</v>
      </c>
      <c r="AH23" s="15">
        <f>IF(ISERROR(AG23/AF23),"",AG23/AF23)</f>
        <v>1.1435294117647059</v>
      </c>
      <c r="AI23" s="14">
        <f>IF(ISERROR($D23/12),"",$D23/12)</f>
        <v>70.833333333333329</v>
      </c>
      <c r="AJ23" s="261">
        <v>86</v>
      </c>
      <c r="AK23" s="15">
        <f>IF(ISERROR(AJ23/AI23),"",AJ23/AI23)</f>
        <v>1.2141176470588235</v>
      </c>
      <c r="AL23" s="14">
        <f>SUM(AC23,AF23,AI23)</f>
        <v>212.5</v>
      </c>
      <c r="AM23" s="483">
        <f>SUM(AD23,AG23,AJ23)</f>
        <v>256</v>
      </c>
      <c r="AN23" s="15">
        <f>IF(ISERROR(AM23/AL23),"",AM23/AL23)</f>
        <v>1.2047058823529411</v>
      </c>
      <c r="AO23" s="14">
        <f>IF(ISERROR($D23/12),"",$D23/12)</f>
        <v>70.833333333333329</v>
      </c>
      <c r="AP23" s="263">
        <v>69</v>
      </c>
      <c r="AQ23" s="15">
        <f>IF(ISERROR(AP23/AO23),"",AP23/AO23)</f>
        <v>0.97411764705882364</v>
      </c>
      <c r="AR23" s="14">
        <f>IF(ISERROR($D23/12),"",$D23/12)</f>
        <v>70.833333333333329</v>
      </c>
      <c r="AS23" s="263">
        <v>71</v>
      </c>
      <c r="AT23" s="15">
        <f>IF(ISERROR(AS23/AR23),"",AS23/AR23)</f>
        <v>1.0023529411764707</v>
      </c>
      <c r="AU23" s="14">
        <f>IF(ISERROR($D23/12),"",$D23/12)</f>
        <v>70.833333333333329</v>
      </c>
      <c r="AV23" s="263">
        <v>60</v>
      </c>
      <c r="AW23" s="15">
        <f>IF(ISERROR(AV23/AU23),"",AV23/AU23)</f>
        <v>0.84705882352941186</v>
      </c>
      <c r="AX23" s="259">
        <f>SUM(AO23,AR23,AU23)</f>
        <v>212.5</v>
      </c>
      <c r="AY23" s="481">
        <f>SUM(AP23,AS23,AV23)</f>
        <v>200</v>
      </c>
      <c r="AZ23" s="15">
        <f>IF(ISERROR(AY23/AX23),"",AY23/AX23)</f>
        <v>0.94117647058823528</v>
      </c>
      <c r="BA23" s="259">
        <f>D23</f>
        <v>850</v>
      </c>
      <c r="BB23" s="259">
        <v>917</v>
      </c>
      <c r="BC23" s="348">
        <f>IF(ISERROR(BB23/BA23),"",BB23/BA23)</f>
        <v>1.0788235294117647</v>
      </c>
    </row>
    <row r="24" spans="1:55" ht="24.75" customHeight="1" x14ac:dyDescent="0.2">
      <c r="A24" s="1244"/>
      <c r="B24" s="209" t="s">
        <v>50</v>
      </c>
      <c r="C24" s="22" t="s">
        <v>235</v>
      </c>
      <c r="D24" s="479">
        <f>'17_Prog_Produc_2011'!G20</f>
        <v>225</v>
      </c>
      <c r="E24" s="14">
        <f>IF(ISERROR($D24/12),"",$D24/12)</f>
        <v>18.75</v>
      </c>
      <c r="F24" s="261">
        <v>21</v>
      </c>
      <c r="G24" s="35">
        <f>IF(ISERROR(F24/E24),"",F24/E24)</f>
        <v>1.1200000000000001</v>
      </c>
      <c r="H24" s="14">
        <f>IF(ISERROR($D24/12),"",$D24/12)</f>
        <v>18.75</v>
      </c>
      <c r="I24" s="263">
        <v>15</v>
      </c>
      <c r="J24" s="35">
        <f>IF(ISERROR(I24/H24),"",I24/H24)</f>
        <v>0.8</v>
      </c>
      <c r="K24" s="14">
        <f>IF(ISERROR($D24/12),"",$D24/12)</f>
        <v>18.75</v>
      </c>
      <c r="L24" s="263">
        <v>17</v>
      </c>
      <c r="M24" s="35">
        <f>IF(ISERROR(L24/K24),"",L24/K24)</f>
        <v>0.90666666666666662</v>
      </c>
      <c r="N24" s="259">
        <f>SUM(E24,H24,K24)</f>
        <v>56.25</v>
      </c>
      <c r="O24" s="483">
        <f>SUM(F24,I24,L24)</f>
        <v>53</v>
      </c>
      <c r="P24" s="15">
        <f>IF(ISERROR(O24/N24),"",O24/N24)</f>
        <v>0.94222222222222218</v>
      </c>
      <c r="Q24" s="14">
        <f>IF(ISERROR($D24/12),"",$D24/12)</f>
        <v>18.75</v>
      </c>
      <c r="R24" s="263">
        <v>22</v>
      </c>
      <c r="S24" s="15">
        <f>IF(ISERROR(R24/Q24),"",R24/Q24)</f>
        <v>1.1733333333333333</v>
      </c>
      <c r="T24" s="14">
        <f>IF(ISERROR($D24/12),"",$D24/12)</f>
        <v>18.75</v>
      </c>
      <c r="U24" s="261">
        <v>19</v>
      </c>
      <c r="V24" s="15">
        <f>IF(ISERROR(U24/T24),"",U24/T24)</f>
        <v>1.0133333333333334</v>
      </c>
      <c r="W24" s="14">
        <f>IF(ISERROR($D24/12),"",$D24/12)</f>
        <v>18.75</v>
      </c>
      <c r="X24" s="263">
        <v>21</v>
      </c>
      <c r="Y24" s="15">
        <f>IF(ISERROR(X24/W24),"",X24/W24)</f>
        <v>1.1200000000000001</v>
      </c>
      <c r="Z24" s="259">
        <f>SUM(Q24,T24,W24)</f>
        <v>56.25</v>
      </c>
      <c r="AA24" s="481">
        <f>SUM(R24,U24,X24)</f>
        <v>62</v>
      </c>
      <c r="AB24" s="15">
        <f>IF(ISERROR(AA24/Z24),"",AA24/Z24)</f>
        <v>1.1022222222222222</v>
      </c>
      <c r="AC24" s="14">
        <f>IF(ISERROR($D24/12),"",$D24/12)</f>
        <v>18.75</v>
      </c>
      <c r="AD24" s="263">
        <v>17</v>
      </c>
      <c r="AE24" s="15">
        <f>IF(ISERROR(AD24/AC24),"",AD24/AC24)</f>
        <v>0.90666666666666662</v>
      </c>
      <c r="AF24" s="14">
        <f>IF(ISERROR($D24/12),"",$D24/12)</f>
        <v>18.75</v>
      </c>
      <c r="AG24" s="493">
        <v>18</v>
      </c>
      <c r="AH24" s="15">
        <f>IF(ISERROR(AG24/AF24),"",AG24/AF24)</f>
        <v>0.96</v>
      </c>
      <c r="AI24" s="14">
        <f>IF(ISERROR($D24/12),"",$D24/12)</f>
        <v>18.75</v>
      </c>
      <c r="AJ24" s="261">
        <v>25</v>
      </c>
      <c r="AK24" s="15">
        <f>IF(ISERROR(AJ24/AI24),"",AJ24/AI24)</f>
        <v>1.3333333333333333</v>
      </c>
      <c r="AL24" s="14">
        <f>SUM(AC24,AF24,AI24)</f>
        <v>56.25</v>
      </c>
      <c r="AM24" s="483">
        <f>SUM(AD24,AG24,AJ24)</f>
        <v>60</v>
      </c>
      <c r="AN24" s="15">
        <f>IF(ISERROR(AM24/AL24),"",AM24/AL24)</f>
        <v>1.0666666666666667</v>
      </c>
      <c r="AO24" s="14">
        <f>IF(ISERROR($D24/12),"",$D24/12)</f>
        <v>18.75</v>
      </c>
      <c r="AP24" s="263">
        <v>21</v>
      </c>
      <c r="AQ24" s="15">
        <f>IF(ISERROR(AP24/AO24),"",AP24/AO24)</f>
        <v>1.1200000000000001</v>
      </c>
      <c r="AR24" s="14">
        <f>IF(ISERROR($D24/12),"",$D24/12)</f>
        <v>18.75</v>
      </c>
      <c r="AS24" s="263">
        <v>26</v>
      </c>
      <c r="AT24" s="15">
        <f>IF(ISERROR(AS24/AR24),"",AS24/AR24)</f>
        <v>1.3866666666666667</v>
      </c>
      <c r="AU24" s="14">
        <f>IF(ISERROR($D24/12),"",$D24/12)</f>
        <v>18.75</v>
      </c>
      <c r="AV24" s="263">
        <v>18</v>
      </c>
      <c r="AW24" s="15">
        <f>IF(ISERROR(AV24/AU24),"",AV24/AU24)</f>
        <v>0.96</v>
      </c>
      <c r="AX24" s="259">
        <f>SUM(AO24,AR24,AU24)</f>
        <v>56.25</v>
      </c>
      <c r="AY24" s="481">
        <f>SUM(AP24,AS24,AV24)</f>
        <v>65</v>
      </c>
      <c r="AZ24" s="15">
        <f>IF(ISERROR(AY24/AX24),"",AY24/AX24)</f>
        <v>1.1555555555555554</v>
      </c>
      <c r="BA24" s="259">
        <f>D24</f>
        <v>225</v>
      </c>
      <c r="BB24" s="259">
        <v>240</v>
      </c>
      <c r="BC24" s="348">
        <f>IF(ISERROR(BB24/BA24),"",BB24/BA24)</f>
        <v>1.0666666666666667</v>
      </c>
    </row>
    <row r="25" spans="1:55" ht="24.75" customHeight="1" x14ac:dyDescent="0.2">
      <c r="A25" s="1244"/>
      <c r="B25" s="247" t="s">
        <v>236</v>
      </c>
      <c r="C25" s="13" t="s">
        <v>153</v>
      </c>
      <c r="D25" s="16">
        <f>SUM(D23:D24)</f>
        <v>1075</v>
      </c>
      <c r="E25" s="17">
        <f>SUM(E23:E24)</f>
        <v>89.583333333333329</v>
      </c>
      <c r="F25" s="17">
        <f>SUM(F23:F24)</f>
        <v>102</v>
      </c>
      <c r="G25" s="36"/>
      <c r="H25" s="17">
        <f>SUM(H23:H24)</f>
        <v>89.583333333333329</v>
      </c>
      <c r="I25" s="17">
        <f>SUM(I23:I24)</f>
        <v>97</v>
      </c>
      <c r="J25" s="36"/>
      <c r="K25" s="17">
        <f>SUM(K23:K24)</f>
        <v>89.583333333333329</v>
      </c>
      <c r="L25" s="17">
        <f>SUM(L23:L24)</f>
        <v>97</v>
      </c>
      <c r="M25" s="36"/>
      <c r="N25" s="262">
        <f>SUM(N23:N24)</f>
        <v>268.75</v>
      </c>
      <c r="O25" s="262">
        <f>SUM(O23:O24)</f>
        <v>296</v>
      </c>
      <c r="P25" s="18"/>
      <c r="Q25" s="17">
        <f>SUM(Q23:Q24)</f>
        <v>89.583333333333329</v>
      </c>
      <c r="R25" s="17">
        <f>SUM(R23:R24)</f>
        <v>87</v>
      </c>
      <c r="S25" s="18"/>
      <c r="T25" s="17">
        <f>SUM(T23:T24)</f>
        <v>89.583333333333329</v>
      </c>
      <c r="U25" s="17">
        <f>SUM(U23:U24)</f>
        <v>94</v>
      </c>
      <c r="V25" s="18"/>
      <c r="W25" s="17">
        <f>SUM(W23:W24)</f>
        <v>89.583333333333329</v>
      </c>
      <c r="X25" s="17">
        <f>SUM(X23:X24)</f>
        <v>99</v>
      </c>
      <c r="Y25" s="18"/>
      <c r="Z25" s="17">
        <f>SUM(Z23:Z24)</f>
        <v>268.75</v>
      </c>
      <c r="AA25" s="17">
        <f>SUM(AA23:AA24)</f>
        <v>280</v>
      </c>
      <c r="AB25" s="18"/>
      <c r="AC25" s="17">
        <f>SUM(AC23:AC24)</f>
        <v>89.583333333333329</v>
      </c>
      <c r="AD25" s="17">
        <f>SUM(AD23:AD24)</f>
        <v>106</v>
      </c>
      <c r="AE25" s="18"/>
      <c r="AF25" s="17">
        <f>SUM(AF23:AF24)</f>
        <v>89.583333333333329</v>
      </c>
      <c r="AG25" s="17">
        <f>SUM(AG23:AG24)</f>
        <v>99</v>
      </c>
      <c r="AH25" s="18"/>
      <c r="AI25" s="17">
        <f>SUM(AI23:AI24)</f>
        <v>89.583333333333329</v>
      </c>
      <c r="AJ25" s="17">
        <f>SUM(AJ23:AJ24)</f>
        <v>111</v>
      </c>
      <c r="AK25" s="18"/>
      <c r="AL25" s="17">
        <f>SUM(AL23:AL24)</f>
        <v>268.75</v>
      </c>
      <c r="AM25" s="17">
        <f>SUM(AM23:AM24)</f>
        <v>316</v>
      </c>
      <c r="AN25" s="18"/>
      <c r="AO25" s="17">
        <f>SUM(AO23:AO24)</f>
        <v>89.583333333333329</v>
      </c>
      <c r="AP25" s="17">
        <f>SUM(AP23:AP24)</f>
        <v>90</v>
      </c>
      <c r="AQ25" s="18"/>
      <c r="AR25" s="17">
        <f>SUM(AR23:AR24)</f>
        <v>89.583333333333329</v>
      </c>
      <c r="AS25" s="17">
        <f>SUM(AS23:AS24)</f>
        <v>97</v>
      </c>
      <c r="AT25" s="18"/>
      <c r="AU25" s="17">
        <f>SUM(AU23:AU24)</f>
        <v>89.583333333333329</v>
      </c>
      <c r="AV25" s="17">
        <f>SUM(AV23:AV24)</f>
        <v>78</v>
      </c>
      <c r="AW25" s="18"/>
      <c r="AX25" s="17">
        <f>SUM(AX23:AX24)</f>
        <v>268.75</v>
      </c>
      <c r="AY25" s="17">
        <f>SUM(AY23:AY24)</f>
        <v>265</v>
      </c>
      <c r="AZ25" s="18"/>
      <c r="BA25" s="17">
        <f>SUM(BA23:BA24)</f>
        <v>1075</v>
      </c>
      <c r="BB25" s="17">
        <f>SUM(BB23:BB24)</f>
        <v>1157</v>
      </c>
      <c r="BC25" s="346"/>
    </row>
    <row r="26" spans="1:55" ht="24.75" customHeight="1" x14ac:dyDescent="0.2">
      <c r="A26" s="1244"/>
      <c r="B26" s="246" t="s">
        <v>237</v>
      </c>
      <c r="C26" s="19"/>
      <c r="D26" s="12"/>
      <c r="E26" s="14"/>
      <c r="F26" s="14"/>
      <c r="G26" s="37"/>
      <c r="H26" s="14"/>
      <c r="I26" s="14"/>
      <c r="J26" s="37"/>
      <c r="K26" s="14"/>
      <c r="L26" s="14"/>
      <c r="M26" s="37"/>
      <c r="N26" s="14"/>
      <c r="O26" s="14"/>
      <c r="P26" s="20"/>
      <c r="Q26" s="14"/>
      <c r="R26" s="14"/>
      <c r="S26" s="20"/>
      <c r="T26" s="14"/>
      <c r="U26" s="14"/>
      <c r="V26" s="20"/>
      <c r="W26" s="14"/>
      <c r="X26" s="14"/>
      <c r="Y26" s="20"/>
      <c r="Z26" s="14"/>
      <c r="AA26" s="14"/>
      <c r="AB26" s="20"/>
      <c r="AC26" s="14"/>
      <c r="AD26" s="14"/>
      <c r="AE26" s="20"/>
      <c r="AF26" s="14"/>
      <c r="AG26" s="14"/>
      <c r="AH26" s="20"/>
      <c r="AI26" s="14"/>
      <c r="AJ26" s="14"/>
      <c r="AK26" s="20"/>
      <c r="AL26" s="14"/>
      <c r="AM26" s="14"/>
      <c r="AN26" s="20"/>
      <c r="AO26" s="14"/>
      <c r="AP26" s="14"/>
      <c r="AQ26" s="20"/>
      <c r="AR26" s="14"/>
      <c r="AS26" s="14"/>
      <c r="AT26" s="20"/>
      <c r="AU26" s="14"/>
      <c r="AV26" s="14"/>
      <c r="AW26" s="20"/>
      <c r="AX26" s="14"/>
      <c r="AY26" s="14"/>
      <c r="AZ26" s="20"/>
      <c r="BA26" s="14"/>
      <c r="BB26" s="14"/>
      <c r="BC26" s="347"/>
    </row>
    <row r="27" spans="1:55" ht="24.75" customHeight="1" x14ac:dyDescent="0.2">
      <c r="A27" s="1244"/>
      <c r="B27" s="209" t="s">
        <v>372</v>
      </c>
      <c r="C27" s="22" t="s">
        <v>228</v>
      </c>
      <c r="D27" s="479">
        <v>600</v>
      </c>
      <c r="E27" s="14">
        <f>IF(ISERROR($D27/12),"",$D27/12)</f>
        <v>50</v>
      </c>
      <c r="F27" s="261">
        <v>140</v>
      </c>
      <c r="G27" s="35">
        <f>IF(ISERROR(F27/E27),"",F27/E27)</f>
        <v>2.8</v>
      </c>
      <c r="H27" s="14">
        <f>IF(ISERROR($D27/12),"",$D27/12)</f>
        <v>50</v>
      </c>
      <c r="I27" s="263">
        <v>117</v>
      </c>
      <c r="J27" s="35">
        <f>IF(ISERROR(I27/H27),"",I27/H27)</f>
        <v>2.34</v>
      </c>
      <c r="K27" s="14">
        <f>IF(ISERROR($D27/12),"",$D27/12)</f>
        <v>50</v>
      </c>
      <c r="L27" s="263">
        <v>123</v>
      </c>
      <c r="M27" s="35">
        <f>IF(ISERROR(L27/K27),"",L27/K27)</f>
        <v>2.46</v>
      </c>
      <c r="N27" s="259">
        <f t="shared" ref="N27:O30" si="39">SUM(E27,H27,K27)</f>
        <v>150</v>
      </c>
      <c r="O27" s="483">
        <f t="shared" si="39"/>
        <v>380</v>
      </c>
      <c r="P27" s="15">
        <f>IF(ISERROR(O27/N27),"",O27/N27)</f>
        <v>2.5333333333333332</v>
      </c>
      <c r="Q27" s="14">
        <f>IF(ISERROR($D27/12),"",$D27/12)</f>
        <v>50</v>
      </c>
      <c r="R27" s="263">
        <v>52</v>
      </c>
      <c r="S27" s="15">
        <f>IF(ISERROR(R27/Q27),"",R27/Q27)</f>
        <v>1.04</v>
      </c>
      <c r="T27" s="14">
        <f>IF(ISERROR($D27/12),"",$D27/12)</f>
        <v>50</v>
      </c>
      <c r="U27" s="261">
        <v>82</v>
      </c>
      <c r="V27" s="15">
        <f>IF(ISERROR(U27/T27),"",U27/T27)</f>
        <v>1.64</v>
      </c>
      <c r="W27" s="14">
        <f>IF(ISERROR($D27/12),"",$D27/12)</f>
        <v>50</v>
      </c>
      <c r="X27" s="263">
        <v>102</v>
      </c>
      <c r="Y27" s="15">
        <f>IF(ISERROR(X27/W27),"",X27/W27)</f>
        <v>2.04</v>
      </c>
      <c r="Z27" s="259">
        <f t="shared" ref="Z27:AA30" si="40">SUM(Q27,T27,W27)</f>
        <v>150</v>
      </c>
      <c r="AA27" s="481">
        <f t="shared" si="40"/>
        <v>236</v>
      </c>
      <c r="AB27" s="15">
        <f>IF(ISERROR(AA27/Z27),"",AA27/Z27)</f>
        <v>1.5733333333333333</v>
      </c>
      <c r="AC27" s="14">
        <f>IF(ISERROR($D27/12),"",$D27/12)</f>
        <v>50</v>
      </c>
      <c r="AD27" s="263">
        <v>93</v>
      </c>
      <c r="AE27" s="15">
        <f>IF(ISERROR(AD27/AC27),"",AD27/AC27)</f>
        <v>1.86</v>
      </c>
      <c r="AF27" s="14">
        <f>IF(ISERROR($D27/12),"",$D27/12)</f>
        <v>50</v>
      </c>
      <c r="AG27" s="493">
        <v>91</v>
      </c>
      <c r="AH27" s="15">
        <f>IF(ISERROR(AG27/AF27),"",AG27/AF27)</f>
        <v>1.82</v>
      </c>
      <c r="AI27" s="14">
        <f>IF(ISERROR($D27/12),"",$D27/12)</f>
        <v>50</v>
      </c>
      <c r="AJ27" s="261">
        <v>101</v>
      </c>
      <c r="AK27" s="15">
        <f>IF(ISERROR(AJ27/AI27),"",AJ27/AI27)</f>
        <v>2.02</v>
      </c>
      <c r="AL27" s="14">
        <f t="shared" ref="AL27:AM30" si="41">SUM(AC27,AF27,AI27)</f>
        <v>150</v>
      </c>
      <c r="AM27" s="483">
        <f t="shared" si="41"/>
        <v>285</v>
      </c>
      <c r="AN27" s="15">
        <f>IF(ISERROR(AM27/AL27),"",AM27/AL27)</f>
        <v>1.9</v>
      </c>
      <c r="AO27" s="14">
        <f>IF(ISERROR($D27/12),"",$D27/12)</f>
        <v>50</v>
      </c>
      <c r="AP27" s="263">
        <v>84</v>
      </c>
      <c r="AQ27" s="15">
        <f>IF(ISERROR(AP27/AO27),"",AP27/AO27)</f>
        <v>1.68</v>
      </c>
      <c r="AR27" s="14">
        <f>IF(ISERROR($D27/12),"",$D27/12)</f>
        <v>50</v>
      </c>
      <c r="AS27" s="263">
        <v>106</v>
      </c>
      <c r="AT27" s="15">
        <f>IF(ISERROR(AS27/AR27),"",AS27/AR27)</f>
        <v>2.12</v>
      </c>
      <c r="AU27" s="14">
        <f>IF(ISERROR($D27/12),"",$D27/12)</f>
        <v>50</v>
      </c>
      <c r="AV27" s="263">
        <v>50</v>
      </c>
      <c r="AW27" s="15">
        <f>IF(ISERROR(AV27/AU27),"",AV27/AU27)</f>
        <v>1</v>
      </c>
      <c r="AX27" s="259">
        <f t="shared" ref="AX27:AY30" si="42">SUM(AO27,AR27,AU27)</f>
        <v>150</v>
      </c>
      <c r="AY27" s="481">
        <f t="shared" si="42"/>
        <v>240</v>
      </c>
      <c r="AZ27" s="15">
        <f>IF(ISERROR(AY27/AX27),"",AY27/AX27)</f>
        <v>1.6</v>
      </c>
      <c r="BA27" s="259">
        <f>D27</f>
        <v>600</v>
      </c>
      <c r="BB27" s="259">
        <v>950</v>
      </c>
      <c r="BC27" s="348">
        <f>IF(ISERROR(BB27/BA27),"",BB27/BA27)</f>
        <v>1.5833333333333333</v>
      </c>
    </row>
    <row r="28" spans="1:55" ht="24.75" customHeight="1" x14ac:dyDescent="0.2">
      <c r="A28" s="1244"/>
      <c r="B28" s="209" t="s">
        <v>373</v>
      </c>
      <c r="C28" s="22" t="s">
        <v>228</v>
      </c>
      <c r="D28" s="479">
        <f>'17_Prog_Produc_2011'!G24</f>
        <v>50</v>
      </c>
      <c r="E28" s="14">
        <f>IF(ISERROR($D28/12),"",$D28/12)</f>
        <v>4.166666666666667</v>
      </c>
      <c r="F28" s="261">
        <v>9</v>
      </c>
      <c r="G28" s="35">
        <f>IF(ISERROR(F28/E28),"",F28/E28)</f>
        <v>2.1599999999999997</v>
      </c>
      <c r="H28" s="14">
        <f>IF(ISERROR($D28/12),"",$D28/12)</f>
        <v>4.166666666666667</v>
      </c>
      <c r="I28" s="263">
        <v>4</v>
      </c>
      <c r="J28" s="35">
        <f>IF(ISERROR(I28/H28),"",I28/H28)</f>
        <v>0.96</v>
      </c>
      <c r="K28" s="14">
        <f>IF(ISERROR($D28/12),"",$D28/12)</f>
        <v>4.166666666666667</v>
      </c>
      <c r="L28" s="263">
        <v>0</v>
      </c>
      <c r="M28" s="35">
        <f>IF(ISERROR(L28/K28),"",L28/K28)</f>
        <v>0</v>
      </c>
      <c r="N28" s="259">
        <f t="shared" si="39"/>
        <v>12.5</v>
      </c>
      <c r="O28" s="483">
        <f t="shared" si="39"/>
        <v>13</v>
      </c>
      <c r="P28" s="15">
        <f>IF(ISERROR(O28/N28),"",O28/N28)</f>
        <v>1.04</v>
      </c>
      <c r="Q28" s="14">
        <f>IF(ISERROR($D28/12),"",$D28/12)</f>
        <v>4.166666666666667</v>
      </c>
      <c r="R28" s="263">
        <v>0</v>
      </c>
      <c r="S28" s="15">
        <f>IF(ISERROR(R28/Q28),"",R28/Q28)</f>
        <v>0</v>
      </c>
      <c r="T28" s="14">
        <f>IF(ISERROR($D28/12),"",$D28/12)</f>
        <v>4.166666666666667</v>
      </c>
      <c r="U28" s="261">
        <v>3</v>
      </c>
      <c r="V28" s="15">
        <f>IF(ISERROR(U28/T28),"",U28/T28)</f>
        <v>0.72</v>
      </c>
      <c r="W28" s="14">
        <f>IF(ISERROR($D28/12),"",$D28/12)</f>
        <v>4.166666666666667</v>
      </c>
      <c r="X28" s="263"/>
      <c r="Y28" s="15">
        <f>IF(ISERROR(X28/W28),"",X28/W28)</f>
        <v>0</v>
      </c>
      <c r="Z28" s="259">
        <f t="shared" si="40"/>
        <v>12.5</v>
      </c>
      <c r="AA28" s="481">
        <f t="shared" si="40"/>
        <v>3</v>
      </c>
      <c r="AB28" s="15">
        <f>IF(ISERROR(AA28/Z28),"",AA28/Z28)</f>
        <v>0.24</v>
      </c>
      <c r="AC28" s="14">
        <f>IF(ISERROR($D28/12),"",$D28/12)</f>
        <v>4.166666666666667</v>
      </c>
      <c r="AD28" s="263">
        <v>4</v>
      </c>
      <c r="AE28" s="15">
        <f>IF(ISERROR(AD28/AC28),"",AD28/AC28)</f>
        <v>0.96</v>
      </c>
      <c r="AF28" s="14">
        <f>IF(ISERROR($D28/12),"",$D28/12)</f>
        <v>4.166666666666667</v>
      </c>
      <c r="AG28" s="493">
        <v>2</v>
      </c>
      <c r="AH28" s="15">
        <f>IF(ISERROR(AG28/AF28),"",AG28/AF28)</f>
        <v>0.48</v>
      </c>
      <c r="AI28" s="14">
        <f>IF(ISERROR($D28/12),"",$D28/12)</f>
        <v>4.166666666666667</v>
      </c>
      <c r="AJ28" s="261">
        <v>3</v>
      </c>
      <c r="AK28" s="15">
        <f>IF(ISERROR(AJ28/AI28),"",AJ28/AI28)</f>
        <v>0.72</v>
      </c>
      <c r="AL28" s="14">
        <f t="shared" si="41"/>
        <v>12.5</v>
      </c>
      <c r="AM28" s="483">
        <f t="shared" si="41"/>
        <v>9</v>
      </c>
      <c r="AN28" s="15">
        <f>IF(ISERROR(AM28/AL28),"",AM28/AL28)</f>
        <v>0.72</v>
      </c>
      <c r="AO28" s="14">
        <f>IF(ISERROR($D28/12),"",$D28/12)</f>
        <v>4.166666666666667</v>
      </c>
      <c r="AP28" s="263">
        <v>5</v>
      </c>
      <c r="AQ28" s="15">
        <f>IF(ISERROR(AP28/AO28),"",AP28/AO28)</f>
        <v>1.2</v>
      </c>
      <c r="AR28" s="14">
        <f>IF(ISERROR($D28/12),"",$D28/12)</f>
        <v>4.166666666666667</v>
      </c>
      <c r="AS28" s="263">
        <v>6</v>
      </c>
      <c r="AT28" s="15">
        <f>IF(ISERROR(AS28/AR28),"",AS28/AR28)</f>
        <v>1.44</v>
      </c>
      <c r="AU28" s="14">
        <f>IF(ISERROR($D28/12),"",$D28/12)</f>
        <v>4.166666666666667</v>
      </c>
      <c r="AV28" s="263">
        <v>6</v>
      </c>
      <c r="AW28" s="15">
        <f>IF(ISERROR(AV28/AU28),"",AV28/AU28)</f>
        <v>1.44</v>
      </c>
      <c r="AX28" s="259">
        <f t="shared" si="42"/>
        <v>12.5</v>
      </c>
      <c r="AY28" s="481">
        <f t="shared" si="42"/>
        <v>17</v>
      </c>
      <c r="AZ28" s="15">
        <f>IF(ISERROR(AY28/AX28),"",AY28/AX28)</f>
        <v>1.36</v>
      </c>
      <c r="BA28" s="259">
        <f>D28</f>
        <v>50</v>
      </c>
      <c r="BB28" s="259">
        <v>42</v>
      </c>
      <c r="BC28" s="348">
        <f>IF(ISERROR(BB28/BA28),"",BB28/BA28)</f>
        <v>0.84</v>
      </c>
    </row>
    <row r="29" spans="1:55" ht="24.75" customHeight="1" x14ac:dyDescent="0.2">
      <c r="A29" s="1244"/>
      <c r="B29" s="209" t="s">
        <v>374</v>
      </c>
      <c r="C29" s="22" t="s">
        <v>228</v>
      </c>
      <c r="D29" s="479">
        <f>'17_Prog_Produc_2011'!G25</f>
        <v>600</v>
      </c>
      <c r="E29" s="14">
        <f>IF(ISERROR($D29/12),"",$D29/12)</f>
        <v>50</v>
      </c>
      <c r="F29" s="261">
        <v>26</v>
      </c>
      <c r="G29" s="35">
        <f>IF(ISERROR(F29/E29),"",F29/E29)</f>
        <v>0.52</v>
      </c>
      <c r="H29" s="14">
        <f>IF(ISERROR($D29/12),"",$D29/12)</f>
        <v>50</v>
      </c>
      <c r="I29" s="263">
        <v>16</v>
      </c>
      <c r="J29" s="35">
        <f>IF(ISERROR(I29/H29),"",I29/H29)</f>
        <v>0.32</v>
      </c>
      <c r="K29" s="14">
        <f>IF(ISERROR($D29/12),"",$D29/12)</f>
        <v>50</v>
      </c>
      <c r="L29" s="263">
        <v>19</v>
      </c>
      <c r="M29" s="35">
        <f>IF(ISERROR(L29/K29),"",L29/K29)</f>
        <v>0.38</v>
      </c>
      <c r="N29" s="259">
        <f t="shared" si="39"/>
        <v>150</v>
      </c>
      <c r="O29" s="483">
        <f t="shared" si="39"/>
        <v>61</v>
      </c>
      <c r="P29" s="15">
        <f>IF(ISERROR(O29/N29),"",O29/N29)</f>
        <v>0.40666666666666668</v>
      </c>
      <c r="Q29" s="14">
        <f>IF(ISERROR($D29/12),"",$D29/12)</f>
        <v>50</v>
      </c>
      <c r="R29" s="263">
        <v>11</v>
      </c>
      <c r="S29" s="15">
        <f>IF(ISERROR(R29/Q29),"",R29/Q29)</f>
        <v>0.22</v>
      </c>
      <c r="T29" s="14">
        <f>IF(ISERROR($D29/12),"",$D29/12)</f>
        <v>50</v>
      </c>
      <c r="U29" s="261">
        <v>20</v>
      </c>
      <c r="V29" s="15">
        <f>IF(ISERROR(U29/T29),"",U29/T29)</f>
        <v>0.4</v>
      </c>
      <c r="W29" s="14">
        <f>IF(ISERROR($D29/12),"",$D29/12)</f>
        <v>50</v>
      </c>
      <c r="X29" s="263">
        <v>121</v>
      </c>
      <c r="Y29" s="15">
        <f>IF(ISERROR(X29/W29),"",X29/W29)</f>
        <v>2.42</v>
      </c>
      <c r="Z29" s="259">
        <f t="shared" si="40"/>
        <v>150</v>
      </c>
      <c r="AA29" s="481">
        <f t="shared" si="40"/>
        <v>152</v>
      </c>
      <c r="AB29" s="15">
        <f>IF(ISERROR(AA29/Z29),"",AA29/Z29)</f>
        <v>1.0133333333333334</v>
      </c>
      <c r="AC29" s="14">
        <f>IF(ISERROR($D29/12),"",$D29/12)</f>
        <v>50</v>
      </c>
      <c r="AD29" s="263">
        <v>14</v>
      </c>
      <c r="AE29" s="15">
        <f>IF(ISERROR(AD29/AC29),"",AD29/AC29)</f>
        <v>0.28000000000000003</v>
      </c>
      <c r="AF29" s="14">
        <f>IF(ISERROR($D29/12),"",$D29/12)</f>
        <v>50</v>
      </c>
      <c r="AG29" s="493">
        <v>27</v>
      </c>
      <c r="AH29" s="15">
        <f>IF(ISERROR(AG29/AF29),"",AG29/AF29)</f>
        <v>0.54</v>
      </c>
      <c r="AI29" s="14">
        <f>IF(ISERROR($D29/12),"",$D29/12)</f>
        <v>50</v>
      </c>
      <c r="AJ29" s="261">
        <v>18</v>
      </c>
      <c r="AK29" s="15">
        <f>IF(ISERROR(AJ29/AI29),"",AJ29/AI29)</f>
        <v>0.36</v>
      </c>
      <c r="AL29" s="14">
        <f t="shared" si="41"/>
        <v>150</v>
      </c>
      <c r="AM29" s="483">
        <f t="shared" si="41"/>
        <v>59</v>
      </c>
      <c r="AN29" s="15">
        <f>IF(ISERROR(AM29/AL29),"",AM29/AL29)</f>
        <v>0.39333333333333331</v>
      </c>
      <c r="AO29" s="14">
        <f>IF(ISERROR($D29/12),"",$D29/12)</f>
        <v>50</v>
      </c>
      <c r="AP29" s="263">
        <v>16</v>
      </c>
      <c r="AQ29" s="15">
        <f>IF(ISERROR(AP29/AO29),"",AP29/AO29)</f>
        <v>0.32</v>
      </c>
      <c r="AR29" s="14">
        <f>IF(ISERROR($D29/12),"",$D29/12)</f>
        <v>50</v>
      </c>
      <c r="AS29" s="263">
        <v>14</v>
      </c>
      <c r="AT29" s="15">
        <f>IF(ISERROR(AS29/AR29),"",AS29/AR29)</f>
        <v>0.28000000000000003</v>
      </c>
      <c r="AU29" s="14">
        <f>IF(ISERROR($D29/12),"",$D29/12)</f>
        <v>50</v>
      </c>
      <c r="AV29" s="263">
        <v>15</v>
      </c>
      <c r="AW29" s="15">
        <f>IF(ISERROR(AV29/AU29),"",AV29/AU29)</f>
        <v>0.3</v>
      </c>
      <c r="AX29" s="259">
        <f t="shared" si="42"/>
        <v>150</v>
      </c>
      <c r="AY29" s="481">
        <f t="shared" si="42"/>
        <v>45</v>
      </c>
      <c r="AZ29" s="15">
        <f>IF(ISERROR(AY29/AX29),"",AY29/AX29)</f>
        <v>0.3</v>
      </c>
      <c r="BA29" s="259">
        <f>D29</f>
        <v>600</v>
      </c>
      <c r="BB29" s="259">
        <v>215</v>
      </c>
      <c r="BC29" s="348">
        <f>IF(ISERROR(BB29/BA29),"",BB29/BA29)</f>
        <v>0.35833333333333334</v>
      </c>
    </row>
    <row r="30" spans="1:55" ht="24.75" customHeight="1" x14ac:dyDescent="0.2">
      <c r="A30" s="1244"/>
      <c r="B30" s="209" t="s">
        <v>375</v>
      </c>
      <c r="C30" s="22" t="s">
        <v>228</v>
      </c>
      <c r="D30" s="479">
        <f>'17_Prog_Produc_2011'!G26</f>
        <v>80</v>
      </c>
      <c r="E30" s="14">
        <f>IF(ISERROR($D30/12),"",$D30/12)</f>
        <v>6.666666666666667</v>
      </c>
      <c r="F30" s="261">
        <v>20</v>
      </c>
      <c r="G30" s="35">
        <f>IF(ISERROR(F30/E30),"",F30/E30)</f>
        <v>3</v>
      </c>
      <c r="H30" s="14">
        <f>IF(ISERROR($D30/12),"",$D30/12)</f>
        <v>6.666666666666667</v>
      </c>
      <c r="I30" s="263">
        <v>13</v>
      </c>
      <c r="J30" s="35">
        <f>IF(ISERROR(I30/H30),"",I30/H30)</f>
        <v>1.95</v>
      </c>
      <c r="K30" s="14">
        <f>IF(ISERROR($D30/12),"",$D30/12)</f>
        <v>6.666666666666667</v>
      </c>
      <c r="L30" s="263">
        <v>19</v>
      </c>
      <c r="M30" s="35">
        <f>IF(ISERROR(L30/K30),"",L30/K30)</f>
        <v>2.85</v>
      </c>
      <c r="N30" s="259">
        <f t="shared" si="39"/>
        <v>20</v>
      </c>
      <c r="O30" s="483">
        <f t="shared" si="39"/>
        <v>52</v>
      </c>
      <c r="P30" s="15">
        <f>IF(ISERROR(O30/N30),"",O30/N30)</f>
        <v>2.6</v>
      </c>
      <c r="Q30" s="14">
        <f>IF(ISERROR($D30/12),"",$D30/12)</f>
        <v>6.666666666666667</v>
      </c>
      <c r="R30" s="263">
        <v>13</v>
      </c>
      <c r="S30" s="15">
        <f>IF(ISERROR(R30/Q30),"",R30/Q30)</f>
        <v>1.95</v>
      </c>
      <c r="T30" s="14">
        <f>IF(ISERROR($D30/12),"",$D30/12)</f>
        <v>6.666666666666667</v>
      </c>
      <c r="U30" s="261">
        <v>14</v>
      </c>
      <c r="V30" s="15">
        <f>IF(ISERROR(U30/T30),"",U30/T30)</f>
        <v>2.1</v>
      </c>
      <c r="W30" s="14">
        <f>IF(ISERROR($D30/12),"",$D30/12)</f>
        <v>6.666666666666667</v>
      </c>
      <c r="X30" s="263">
        <v>20</v>
      </c>
      <c r="Y30" s="15">
        <f>IF(ISERROR(X30/W30),"",X30/W30)</f>
        <v>3</v>
      </c>
      <c r="Z30" s="259">
        <f t="shared" si="40"/>
        <v>20</v>
      </c>
      <c r="AA30" s="481">
        <f t="shared" si="40"/>
        <v>47</v>
      </c>
      <c r="AB30" s="15">
        <f>IF(ISERROR(AA30/Z30),"",AA30/Z30)</f>
        <v>2.35</v>
      </c>
      <c r="AC30" s="14">
        <f>IF(ISERROR($D30/12),"",$D30/12)</f>
        <v>6.666666666666667</v>
      </c>
      <c r="AD30" s="263">
        <v>10</v>
      </c>
      <c r="AE30" s="15">
        <f>IF(ISERROR(AD30/AC30),"",AD30/AC30)</f>
        <v>1.5</v>
      </c>
      <c r="AF30" s="14">
        <f>IF(ISERROR($D30/12),"",$D30/12)</f>
        <v>6.666666666666667</v>
      </c>
      <c r="AG30" s="493">
        <v>10</v>
      </c>
      <c r="AH30" s="15">
        <f>IF(ISERROR(AG30/AF30),"",AG30/AF30)</f>
        <v>1.5</v>
      </c>
      <c r="AI30" s="14">
        <f>IF(ISERROR($D30/12),"",$D30/12)</f>
        <v>6.666666666666667</v>
      </c>
      <c r="AJ30" s="261">
        <v>7</v>
      </c>
      <c r="AK30" s="15">
        <f>IF(ISERROR(AJ30/AI30),"",AJ30/AI30)</f>
        <v>1.05</v>
      </c>
      <c r="AL30" s="14">
        <f t="shared" si="41"/>
        <v>20</v>
      </c>
      <c r="AM30" s="483">
        <f t="shared" si="41"/>
        <v>27</v>
      </c>
      <c r="AN30" s="15">
        <f>IF(ISERROR(AM30/AL30),"",AM30/AL30)</f>
        <v>1.35</v>
      </c>
      <c r="AO30" s="14">
        <f>IF(ISERROR($D30/12),"",$D30/12)</f>
        <v>6.666666666666667</v>
      </c>
      <c r="AP30" s="263">
        <v>11</v>
      </c>
      <c r="AQ30" s="15">
        <f>IF(ISERROR(AP30/AO30),"",AP30/AO30)</f>
        <v>1.65</v>
      </c>
      <c r="AR30" s="14">
        <f>IF(ISERROR($D30/12),"",$D30/12)</f>
        <v>6.666666666666667</v>
      </c>
      <c r="AS30" s="263">
        <v>6</v>
      </c>
      <c r="AT30" s="15">
        <f>IF(ISERROR(AS30/AR30),"",AS30/AR30)</f>
        <v>0.89999999999999991</v>
      </c>
      <c r="AU30" s="14">
        <f>IF(ISERROR($D30/12),"",$D30/12)</f>
        <v>6.666666666666667</v>
      </c>
      <c r="AV30" s="263">
        <v>16</v>
      </c>
      <c r="AW30" s="15">
        <f>IF(ISERROR(AV30/AU30),"",AV30/AU30)</f>
        <v>2.4</v>
      </c>
      <c r="AX30" s="259">
        <f t="shared" si="42"/>
        <v>20</v>
      </c>
      <c r="AY30" s="481">
        <f t="shared" si="42"/>
        <v>33</v>
      </c>
      <c r="AZ30" s="15">
        <f>IF(ISERROR(AY30/AX30),"",AY30/AX30)</f>
        <v>1.65</v>
      </c>
      <c r="BA30" s="259">
        <f>D30</f>
        <v>80</v>
      </c>
      <c r="BB30" s="259">
        <v>159</v>
      </c>
      <c r="BC30" s="348">
        <f>IF(ISERROR(BB30/BA30),"",BB30/BA30)</f>
        <v>1.9875</v>
      </c>
    </row>
    <row r="31" spans="1:55" ht="24.75" customHeight="1" x14ac:dyDescent="0.2">
      <c r="A31" s="1244"/>
      <c r="B31" s="247" t="s">
        <v>57</v>
      </c>
      <c r="C31" s="13" t="s">
        <v>228</v>
      </c>
      <c r="D31" s="16">
        <f>SUM(D27:D30)</f>
        <v>1330</v>
      </c>
      <c r="E31" s="17">
        <f>SUM(E27:E30)</f>
        <v>110.83333333333333</v>
      </c>
      <c r="F31" s="17">
        <f>SUM(F27:F30)</f>
        <v>195</v>
      </c>
      <c r="G31" s="36">
        <f>IF(ISERROR(F31/E31),"",F31/E31)</f>
        <v>1.7593984962406015</v>
      </c>
      <c r="H31" s="17">
        <f>SUM(H27:H30)</f>
        <v>110.83333333333333</v>
      </c>
      <c r="I31" s="17">
        <f>SUM(I27:I30)</f>
        <v>150</v>
      </c>
      <c r="J31" s="36">
        <f>IF(ISERROR(I31/H31),"",I31/H31)</f>
        <v>1.3533834586466167</v>
      </c>
      <c r="K31" s="17">
        <f>SUM(K27:K30)</f>
        <v>110.83333333333333</v>
      </c>
      <c r="L31" s="17">
        <f>SUM(L27:L30)</f>
        <v>161</v>
      </c>
      <c r="M31" s="36">
        <f>IF(ISERROR(L31/K31),"",L31/K31)</f>
        <v>1.4526315789473685</v>
      </c>
      <c r="N31" s="17">
        <f>SUM(N27:N30)</f>
        <v>332.5</v>
      </c>
      <c r="O31" s="17">
        <f>SUM(O27:O30)</f>
        <v>506</v>
      </c>
      <c r="P31" s="18">
        <f>IF(ISERROR(O31/N31),"",O31/N31)</f>
        <v>1.5218045112781955</v>
      </c>
      <c r="Q31" s="17">
        <f>SUM(Q27:Q30)</f>
        <v>110.83333333333333</v>
      </c>
      <c r="R31" s="17">
        <f>SUM(R27:R30)</f>
        <v>76</v>
      </c>
      <c r="S31" s="18">
        <f>IF(ISERROR(R31/Q31),"",R31/Q31)</f>
        <v>0.68571428571428572</v>
      </c>
      <c r="T31" s="17">
        <f>SUM(T27:T30)</f>
        <v>110.83333333333333</v>
      </c>
      <c r="U31" s="17">
        <f>SUM(U27:U30)</f>
        <v>119</v>
      </c>
      <c r="V31" s="18">
        <f>IF(ISERROR(U31/T31),"",U31/T31)</f>
        <v>1.0736842105263158</v>
      </c>
      <c r="W31" s="17">
        <f>SUM(W27:W30)</f>
        <v>110.83333333333333</v>
      </c>
      <c r="X31" s="17">
        <f>SUM(X27:X30)</f>
        <v>243</v>
      </c>
      <c r="Y31" s="18">
        <f>IF(ISERROR(X31/W31),"",X31/W31)</f>
        <v>2.1924812030075187</v>
      </c>
      <c r="Z31" s="17">
        <f>SUM(Z27:Z30)</f>
        <v>332.5</v>
      </c>
      <c r="AA31" s="17">
        <f>SUM(AA27:AA30)</f>
        <v>438</v>
      </c>
      <c r="AB31" s="18">
        <f>IF(ISERROR(AA31/Z31),"",AA31/Z31)</f>
        <v>1.3172932330827067</v>
      </c>
      <c r="AC31" s="17">
        <f>SUM(AC27:AC30)</f>
        <v>110.83333333333333</v>
      </c>
      <c r="AD31" s="17">
        <f>SUM(AD27:AD30)</f>
        <v>121</v>
      </c>
      <c r="AE31" s="18">
        <f>IF(ISERROR(AD31/AC31),"",AD31/AC31)</f>
        <v>1.0917293233082708</v>
      </c>
      <c r="AF31" s="17">
        <f>SUM(AF27:AF30)</f>
        <v>110.83333333333333</v>
      </c>
      <c r="AG31" s="17">
        <f>SUM(AG27:AG30)</f>
        <v>130</v>
      </c>
      <c r="AH31" s="18">
        <f>IF(ISERROR(AG31/AF31),"",AG31/AF31)</f>
        <v>1.1729323308270678</v>
      </c>
      <c r="AI31" s="17">
        <f>SUM(AI27:AI30)</f>
        <v>110.83333333333333</v>
      </c>
      <c r="AJ31" s="17">
        <f>SUM(AJ27:AJ30)</f>
        <v>129</v>
      </c>
      <c r="AK31" s="18">
        <f>IF(ISERROR(AJ31/AI31),"",AJ31/AI31)</f>
        <v>1.1639097744360902</v>
      </c>
      <c r="AL31" s="17">
        <f>SUM(AL27:AL30)</f>
        <v>332.5</v>
      </c>
      <c r="AM31" s="17">
        <f>SUM(AM27:AM30)</f>
        <v>380</v>
      </c>
      <c r="AN31" s="18">
        <f>IF(ISERROR(AM31/AL31),"",AM31/AL31)</f>
        <v>1.1428571428571428</v>
      </c>
      <c r="AO31" s="17">
        <f>SUM(AO27:AO30)</f>
        <v>110.83333333333333</v>
      </c>
      <c r="AP31" s="17">
        <f>SUM(AP27:AP30)</f>
        <v>116</v>
      </c>
      <c r="AQ31" s="18">
        <f>IF(ISERROR(AP31/AO31),"",AP31/AO31)</f>
        <v>1.0466165413533834</v>
      </c>
      <c r="AR31" s="17">
        <f>SUM(AR27:AR30)</f>
        <v>110.83333333333333</v>
      </c>
      <c r="AS31" s="17">
        <f>SUM(AS27:AS30)</f>
        <v>132</v>
      </c>
      <c r="AT31" s="18">
        <f>IF(ISERROR(AS31/AR31),"",AS31/AR31)</f>
        <v>1.1909774436090226</v>
      </c>
      <c r="AU31" s="17">
        <f>SUM(AU27:AU30)</f>
        <v>110.83333333333333</v>
      </c>
      <c r="AV31" s="17">
        <f>SUM(AV27:AV30)</f>
        <v>87</v>
      </c>
      <c r="AW31" s="18">
        <f>IF(ISERROR(AV31/AU31),"",AV31/AU31)</f>
        <v>0.78496240601503764</v>
      </c>
      <c r="AX31" s="17">
        <f>SUM(AX27:AX30)</f>
        <v>332.5</v>
      </c>
      <c r="AY31" s="17">
        <f>SUM(AY27:AY30)</f>
        <v>335</v>
      </c>
      <c r="AZ31" s="18">
        <f>IF(ISERROR(AY31/AX31),"",AY31/AX31)</f>
        <v>1.0075187969924813</v>
      </c>
      <c r="BA31" s="17">
        <f>SUM(BA27:BA30)</f>
        <v>1330</v>
      </c>
      <c r="BB31" s="17">
        <f>SUM(BB27:BB30)</f>
        <v>1366</v>
      </c>
      <c r="BC31" s="346">
        <f>IF(ISERROR(BB31/BA31),"",BB31/BA31)</f>
        <v>1.0270676691729324</v>
      </c>
    </row>
    <row r="32" spans="1:55" ht="24.75" customHeight="1" x14ac:dyDescent="0.2">
      <c r="A32" s="1244"/>
      <c r="B32" s="246" t="s">
        <v>58</v>
      </c>
      <c r="C32" s="19"/>
      <c r="D32" s="21"/>
      <c r="E32" s="14"/>
      <c r="F32" s="21"/>
      <c r="G32" s="37"/>
      <c r="H32" s="14"/>
      <c r="I32" s="21"/>
      <c r="J32" s="37"/>
      <c r="K32" s="14"/>
      <c r="L32" s="21"/>
      <c r="M32" s="37"/>
      <c r="N32" s="14"/>
      <c r="O32" s="21"/>
      <c r="P32" s="20"/>
      <c r="Q32" s="14"/>
      <c r="R32" s="14"/>
      <c r="S32" s="20"/>
      <c r="T32" s="14"/>
      <c r="U32" s="21"/>
      <c r="V32" s="20"/>
      <c r="W32" s="14"/>
      <c r="X32" s="21"/>
      <c r="Y32" s="20"/>
      <c r="Z32" s="14"/>
      <c r="AA32" s="21"/>
      <c r="AB32" s="20"/>
      <c r="AC32" s="14"/>
      <c r="AD32" s="21"/>
      <c r="AE32" s="20"/>
      <c r="AF32" s="14"/>
      <c r="AG32" s="14"/>
      <c r="AH32" s="20"/>
      <c r="AI32" s="14"/>
      <c r="AJ32" s="21"/>
      <c r="AK32" s="20"/>
      <c r="AL32" s="14"/>
      <c r="AM32" s="21"/>
      <c r="AN32" s="20"/>
      <c r="AO32" s="14"/>
      <c r="AP32" s="21"/>
      <c r="AQ32" s="20"/>
      <c r="AR32" s="14"/>
      <c r="AS32" s="21"/>
      <c r="AT32" s="20"/>
      <c r="AU32" s="14"/>
      <c r="AV32" s="14"/>
      <c r="AW32" s="20"/>
      <c r="AX32" s="14"/>
      <c r="AY32" s="21"/>
      <c r="AZ32" s="20"/>
      <c r="BA32" s="14"/>
      <c r="BB32" s="21"/>
      <c r="BC32" s="347"/>
    </row>
    <row r="33" spans="1:55" ht="24.75" customHeight="1" x14ac:dyDescent="0.2">
      <c r="A33" s="1244"/>
      <c r="B33" s="209" t="s">
        <v>404</v>
      </c>
      <c r="C33" s="22" t="s">
        <v>228</v>
      </c>
      <c r="D33" s="479">
        <f>'17_Prog_Produc_2011'!G29</f>
        <v>1750</v>
      </c>
      <c r="E33" s="14">
        <f>IF(ISERROR($D33/12),"",$D33/12)</f>
        <v>145.83333333333334</v>
      </c>
      <c r="F33" s="263">
        <v>166</v>
      </c>
      <c r="G33" s="35">
        <f>IF(ISERROR(F33/E33),"",F33/E33)</f>
        <v>1.1382857142857141</v>
      </c>
      <c r="H33" s="14">
        <f>IF(ISERROR($D33/12),"",$D33/12)</f>
        <v>145.83333333333334</v>
      </c>
      <c r="I33" s="263">
        <v>153</v>
      </c>
      <c r="J33" s="35">
        <f>IF(ISERROR(I33/H33),"",I33/H33)</f>
        <v>1.0491428571428572</v>
      </c>
      <c r="K33" s="14">
        <f>IF(ISERROR($D33/12),"",$D33/12)</f>
        <v>145.83333333333334</v>
      </c>
      <c r="L33" s="263">
        <v>173</v>
      </c>
      <c r="M33" s="35">
        <f>IF(ISERROR(L33/K33),"",L33/K33)</f>
        <v>1.1862857142857142</v>
      </c>
      <c r="N33" s="259">
        <f>SUM(E33,H33,K33)</f>
        <v>437.5</v>
      </c>
      <c r="O33" s="483">
        <f>SUM(F33,I33,L33)</f>
        <v>492</v>
      </c>
      <c r="P33" s="15">
        <f>IF(ISERROR(O33/N33),"",O33/N33)</f>
        <v>1.1245714285714286</v>
      </c>
      <c r="Q33" s="14">
        <f>IF(ISERROR($D33/12),"",$D33/12)</f>
        <v>145.83333333333334</v>
      </c>
      <c r="R33" s="263">
        <v>161</v>
      </c>
      <c r="S33" s="15">
        <f>IF(ISERROR(R33/Q33),"",R33/Q33)</f>
        <v>1.1039999999999999</v>
      </c>
      <c r="T33" s="14">
        <f>IF(ISERROR($D33/12),"",$D33/12)</f>
        <v>145.83333333333334</v>
      </c>
      <c r="U33" s="263">
        <v>161</v>
      </c>
      <c r="V33" s="15">
        <f>IF(ISERROR(U33/T33),"",U33/T33)</f>
        <v>1.1039999999999999</v>
      </c>
      <c r="W33" s="14">
        <f>IF(ISERROR($D33/12),"",$D33/12)</f>
        <v>145.83333333333334</v>
      </c>
      <c r="X33" s="263">
        <v>144</v>
      </c>
      <c r="Y33" s="15">
        <f>IF(ISERROR(X33/W33),"",X33/W33)</f>
        <v>0.98742857142857132</v>
      </c>
      <c r="Z33" s="259">
        <f>SUM(Q33,T33,W33)</f>
        <v>437.5</v>
      </c>
      <c r="AA33" s="481">
        <f>SUM(R33,U33,X33)</f>
        <v>466</v>
      </c>
      <c r="AB33" s="15">
        <f>IF(ISERROR(AA33/Z33),"",AA33/Z33)</f>
        <v>1.0651428571428572</v>
      </c>
      <c r="AC33" s="14">
        <f>IF(ISERROR($D33/12),"",$D33/12)</f>
        <v>145.83333333333334</v>
      </c>
      <c r="AD33" s="263">
        <v>168</v>
      </c>
      <c r="AE33" s="15">
        <f>IF(ISERROR(AD33/AC33),"",AD33/AC33)</f>
        <v>1.1519999999999999</v>
      </c>
      <c r="AF33" s="14">
        <f>IF(ISERROR($D33/12),"",$D33/12)</f>
        <v>145.83333333333334</v>
      </c>
      <c r="AG33" s="493">
        <v>154</v>
      </c>
      <c r="AH33" s="15">
        <f>IF(ISERROR(AG33/AF33),"",AG33/AF33)</f>
        <v>1.0559999999999998</v>
      </c>
      <c r="AI33" s="14">
        <f>IF(ISERROR($D33/12),"",$D33/12)</f>
        <v>145.83333333333334</v>
      </c>
      <c r="AJ33" s="263">
        <v>144</v>
      </c>
      <c r="AK33" s="15">
        <f>IF(ISERROR(AJ33/AI33),"",AJ33/AI33)</f>
        <v>0.98742857142857132</v>
      </c>
      <c r="AL33" s="14">
        <f>SUM(AC33,AF33,AI33)</f>
        <v>437.5</v>
      </c>
      <c r="AM33" s="483">
        <f>SUM(AD33,AG33,AJ33)</f>
        <v>466</v>
      </c>
      <c r="AN33" s="15">
        <f>IF(ISERROR(AM33/AL33),"",AM33/AL33)</f>
        <v>1.0651428571428572</v>
      </c>
      <c r="AO33" s="14">
        <f>IF(ISERROR($D33/12),"",$D33/12)</f>
        <v>145.83333333333334</v>
      </c>
      <c r="AP33" s="263">
        <v>165</v>
      </c>
      <c r="AQ33" s="15">
        <f>IF(ISERROR(AP33/AO33),"",AP33/AO33)</f>
        <v>1.1314285714285715</v>
      </c>
      <c r="AR33" s="14">
        <f>IF(ISERROR($D33/12),"",$D33/12)</f>
        <v>145.83333333333334</v>
      </c>
      <c r="AS33" s="263">
        <v>143</v>
      </c>
      <c r="AT33" s="15">
        <f>IF(ISERROR(AS33/AR33),"",AS33/AR33)</f>
        <v>0.98057142857142854</v>
      </c>
      <c r="AU33" s="14">
        <f>IF(ISERROR($D33/12),"",$D33/12)</f>
        <v>145.83333333333334</v>
      </c>
      <c r="AV33" s="263">
        <v>119</v>
      </c>
      <c r="AW33" s="15">
        <f>IF(ISERROR(AV33/AU33),"",AV33/AU33)</f>
        <v>0.81599999999999995</v>
      </c>
      <c r="AX33" s="259">
        <f>SUM(AO33,AR33,AU33)</f>
        <v>437.5</v>
      </c>
      <c r="AY33" s="481">
        <f>SUM(AP33,AS33,AV33)</f>
        <v>427</v>
      </c>
      <c r="AZ33" s="15">
        <f>IF(ISERROR(AY33/AX33),"",AY33/AX33)</f>
        <v>0.97599999999999998</v>
      </c>
      <c r="BA33" s="259">
        <f>D33</f>
        <v>1750</v>
      </c>
      <c r="BB33" s="259">
        <v>1851</v>
      </c>
      <c r="BC33" s="348">
        <f>IF(ISERROR(BB33/BA33),"",BB33/BA33)</f>
        <v>1.0577142857142856</v>
      </c>
    </row>
    <row r="34" spans="1:55" ht="24.75" customHeight="1" x14ac:dyDescent="0.2">
      <c r="A34" s="1228" t="s">
        <v>376</v>
      </c>
      <c r="B34" s="246" t="s">
        <v>377</v>
      </c>
      <c r="C34" s="19"/>
      <c r="D34" s="23"/>
      <c r="E34" s="24"/>
      <c r="F34" s="24"/>
      <c r="G34" s="38"/>
      <c r="H34" s="24"/>
      <c r="I34" s="24"/>
      <c r="J34" s="38"/>
      <c r="K34" s="24"/>
      <c r="L34" s="24"/>
      <c r="M34" s="38"/>
      <c r="N34" s="24"/>
      <c r="O34" s="24"/>
      <c r="P34" s="25"/>
      <c r="Q34" s="24"/>
      <c r="R34" s="24"/>
      <c r="S34" s="25"/>
      <c r="T34" s="24"/>
      <c r="U34" s="24"/>
      <c r="V34" s="25"/>
      <c r="W34" s="24"/>
      <c r="X34" s="24"/>
      <c r="Y34" s="25"/>
      <c r="Z34" s="24"/>
      <c r="AA34" s="24"/>
      <c r="AB34" s="25"/>
      <c r="AC34" s="24"/>
      <c r="AD34" s="24"/>
      <c r="AE34" s="25"/>
      <c r="AF34" s="24"/>
      <c r="AG34" s="24"/>
      <c r="AH34" s="25"/>
      <c r="AI34" s="24"/>
      <c r="AJ34" s="24"/>
      <c r="AK34" s="25"/>
      <c r="AL34" s="24"/>
      <c r="AM34" s="24"/>
      <c r="AN34" s="25"/>
      <c r="AO34" s="24"/>
      <c r="AP34" s="24"/>
      <c r="AQ34" s="25"/>
      <c r="AR34" s="24"/>
      <c r="AS34" s="24"/>
      <c r="AT34" s="25"/>
      <c r="AU34" s="24"/>
      <c r="AV34" s="24"/>
      <c r="AW34" s="25"/>
      <c r="AX34" s="24"/>
      <c r="AY34" s="24"/>
      <c r="AZ34" s="25"/>
      <c r="BA34" s="24"/>
      <c r="BB34" s="24"/>
      <c r="BC34" s="349"/>
    </row>
    <row r="35" spans="1:55" ht="45" customHeight="1" x14ac:dyDescent="0.2">
      <c r="A35" s="1228"/>
      <c r="B35" s="248" t="s">
        <v>378</v>
      </c>
      <c r="C35" s="26" t="s">
        <v>69</v>
      </c>
      <c r="D35" s="479">
        <f>SUM('18_Prog_Scios_Intermedios'!F5:F7)</f>
        <v>6452</v>
      </c>
      <c r="E35" s="14">
        <f>IF(ISERROR($D35/12),"",$D35/12)</f>
        <v>537.66666666666663</v>
      </c>
      <c r="F35" s="261">
        <v>594</v>
      </c>
      <c r="G35" s="35">
        <f>IF(ISERROR(F35/E35),"",F35/E35)</f>
        <v>1.1047737135771853</v>
      </c>
      <c r="H35" s="14">
        <f>IF(ISERROR($D35/12),"",$D35/12)</f>
        <v>537.66666666666663</v>
      </c>
      <c r="I35" s="263">
        <v>568</v>
      </c>
      <c r="J35" s="35">
        <f>IF(ISERROR(I35/H35),"",I35/H35)</f>
        <v>1.0564166150030998</v>
      </c>
      <c r="K35" s="14">
        <f>IF(ISERROR($D35/12),"",$D35/12)</f>
        <v>537.66666666666663</v>
      </c>
      <c r="L35" s="263">
        <v>751</v>
      </c>
      <c r="M35" s="35">
        <f>IF(ISERROR(L35/K35),"",L35/K35)</f>
        <v>1.3967761934283944</v>
      </c>
      <c r="N35" s="259">
        <f>SUM(E35,H35,K35)</f>
        <v>1613</v>
      </c>
      <c r="O35" s="483">
        <f>SUM(F35,I35,L35)</f>
        <v>1913</v>
      </c>
      <c r="P35" s="15">
        <f>IF(ISERROR(O35/N35),"",O35/N35)</f>
        <v>1.1859888406695598</v>
      </c>
      <c r="Q35" s="14">
        <f>IF(ISERROR($D35/12),"",$D35/12)</f>
        <v>537.66666666666663</v>
      </c>
      <c r="R35" s="263">
        <v>664</v>
      </c>
      <c r="S35" s="15">
        <f>IF(ISERROR(R35/Q35),"",R35/Q35)</f>
        <v>1.2349659020458774</v>
      </c>
      <c r="T35" s="14">
        <f>IF(ISERROR($D35/12),"",$D35/12)</f>
        <v>537.66666666666663</v>
      </c>
      <c r="U35" s="261">
        <v>587</v>
      </c>
      <c r="V35" s="15">
        <f>IF(ISERROR(U35/T35),"",U35/T35)</f>
        <v>1.0917544947303162</v>
      </c>
      <c r="W35" s="14">
        <f>IF(ISERROR($D35/12),"",$D35/12)</f>
        <v>537.66666666666663</v>
      </c>
      <c r="X35" s="263">
        <v>555</v>
      </c>
      <c r="Y35" s="15">
        <f>IF(ISERROR(X35/W35),"",X35/W35)</f>
        <v>1.032238065716057</v>
      </c>
      <c r="Z35" s="259">
        <f>SUM(Q35,T35,W35)</f>
        <v>1613</v>
      </c>
      <c r="AA35" s="481">
        <f>SUM(R35,U35,X35)</f>
        <v>1806</v>
      </c>
      <c r="AB35" s="15">
        <f>IF(ISERROR(AA35/Z35),"",AA35/Z35)</f>
        <v>1.1196528208307501</v>
      </c>
      <c r="AC35" s="14">
        <f>IF(ISERROR($D35/12),"",$D35/12)</f>
        <v>537.66666666666663</v>
      </c>
      <c r="AD35" s="263">
        <v>733</v>
      </c>
      <c r="AE35" s="15">
        <f>IF(ISERROR(AD35/AC35),"",AD35/AC35)</f>
        <v>1.3632982021078737</v>
      </c>
      <c r="AF35" s="14">
        <f>IF(ISERROR($D35/12),"",$D35/12)</f>
        <v>537.66666666666663</v>
      </c>
      <c r="AG35" s="493">
        <v>614</v>
      </c>
      <c r="AH35" s="15">
        <f>IF(ISERROR(AG35/AF35),"",AG35/AF35)</f>
        <v>1.1419714817110975</v>
      </c>
      <c r="AI35" s="14">
        <f>IF(ISERROR($D35/12),"",$D35/12)</f>
        <v>537.66666666666663</v>
      </c>
      <c r="AJ35" s="261">
        <v>685</v>
      </c>
      <c r="AK35" s="15">
        <f>IF(ISERROR(AJ35/AI35),"",AJ35/AI35)</f>
        <v>1.274023558586485</v>
      </c>
      <c r="AL35" s="14">
        <f>SUM(AC35,AF35,AI35)</f>
        <v>1613</v>
      </c>
      <c r="AM35" s="483">
        <f>SUM(AD35,AG35,AJ35)</f>
        <v>2032</v>
      </c>
      <c r="AN35" s="15">
        <f>IF(ISERROR(AM35/AL35),"",AM35/AL35)</f>
        <v>1.2597644141351518</v>
      </c>
      <c r="AO35" s="14">
        <f>IF(ISERROR($D35/12),"",$D35/12)</f>
        <v>537.66666666666663</v>
      </c>
      <c r="AP35" s="263">
        <v>583</v>
      </c>
      <c r="AQ35" s="15">
        <f>IF(ISERROR(AP35/AO35),"",AP35/AO35)</f>
        <v>1.0843149411035338</v>
      </c>
      <c r="AR35" s="14">
        <f>IF(ISERROR($D35/12),"",$D35/12)</f>
        <v>537.66666666666663</v>
      </c>
      <c r="AS35" s="263">
        <v>592</v>
      </c>
      <c r="AT35" s="15">
        <f>IF(ISERROR(AS35/AR35),"",AS35/AR35)</f>
        <v>1.1010539367637941</v>
      </c>
      <c r="AU35" s="14">
        <f>IF(ISERROR($D35/12),"",$D35/12)</f>
        <v>537.66666666666663</v>
      </c>
      <c r="AV35" s="263">
        <v>536</v>
      </c>
      <c r="AW35" s="15">
        <f>IF(ISERROR(AV35/AU35),"",AV35/AU35)</f>
        <v>0.99690018598884078</v>
      </c>
      <c r="AX35" s="259">
        <f>SUM(AO35,AR35,AU35)</f>
        <v>1613</v>
      </c>
      <c r="AY35" s="481">
        <f>SUM(AP35,AS35,AV35)</f>
        <v>1711</v>
      </c>
      <c r="AZ35" s="15">
        <f>IF(ISERROR(AY35/AX35),"",AY35/AX35)</f>
        <v>1.0607563546187229</v>
      </c>
      <c r="BA35" s="259">
        <f>D35</f>
        <v>6452</v>
      </c>
      <c r="BB35" s="259">
        <v>7462</v>
      </c>
      <c r="BC35" s="348">
        <f>IF(ISERROR(BB35/BA35),"",BB35/BA35)</f>
        <v>1.1565406075635463</v>
      </c>
    </row>
    <row r="36" spans="1:55" ht="36" customHeight="1" x14ac:dyDescent="0.2">
      <c r="A36" s="1228"/>
      <c r="B36" s="248" t="s">
        <v>379</v>
      </c>
      <c r="C36" s="27" t="s">
        <v>69</v>
      </c>
      <c r="D36" s="479">
        <f>SUM('18_Prog_Scios_Intermedios'!F9:F15)</f>
        <v>1029</v>
      </c>
      <c r="E36" s="14">
        <f>IF(ISERROR($D36/12),"",$D36/12)</f>
        <v>85.75</v>
      </c>
      <c r="F36" s="261">
        <v>74</v>
      </c>
      <c r="G36" s="35">
        <f>IF(ISERROR(F36/E36),"",F36/E36)</f>
        <v>0.86297376093294464</v>
      </c>
      <c r="H36" s="14">
        <f>IF(ISERROR($D36/12),"",$D36/12)</f>
        <v>85.75</v>
      </c>
      <c r="I36" s="263">
        <v>68</v>
      </c>
      <c r="J36" s="35">
        <f>IF(ISERROR(I36/H36),"",I36/H36)</f>
        <v>0.79300291545189505</v>
      </c>
      <c r="K36" s="14">
        <f>IF(ISERROR($D36/12),"",$D36/12)</f>
        <v>85.75</v>
      </c>
      <c r="L36" s="263">
        <v>98</v>
      </c>
      <c r="M36" s="35">
        <f>IF(ISERROR(L36/K36),"",L36/K36)</f>
        <v>1.1428571428571428</v>
      </c>
      <c r="N36" s="259">
        <f>SUM(E36,H36,K36)</f>
        <v>257.25</v>
      </c>
      <c r="O36" s="483">
        <f>SUM(F36,I36,L36)</f>
        <v>240</v>
      </c>
      <c r="P36" s="15">
        <f>IF(ISERROR(O36/N36),"",O36/N36)</f>
        <v>0.93294460641399413</v>
      </c>
      <c r="Q36" s="14">
        <f>IF(ISERROR($D36/12),"",$D36/12)</f>
        <v>85.75</v>
      </c>
      <c r="R36" s="263">
        <v>95</v>
      </c>
      <c r="S36" s="15">
        <f>IF(ISERROR(R36/Q36),"",R36/Q36)</f>
        <v>1.1078717201166182</v>
      </c>
      <c r="T36" s="14">
        <f>IF(ISERROR($D36/12),"",$D36/12)</f>
        <v>85.75</v>
      </c>
      <c r="U36" s="261">
        <v>77</v>
      </c>
      <c r="V36" s="15">
        <f>IF(ISERROR(U36/T36),"",U36/T36)</f>
        <v>0.89795918367346939</v>
      </c>
      <c r="W36" s="14">
        <f>IF(ISERROR($D36/12),"",$D36/12)</f>
        <v>85.75</v>
      </c>
      <c r="X36" s="263">
        <v>76</v>
      </c>
      <c r="Y36" s="15">
        <f>IF(ISERROR(X36/W36),"",X36/W36)</f>
        <v>0.88629737609329451</v>
      </c>
      <c r="Z36" s="259">
        <f>SUM(Q36,T36,W36)</f>
        <v>257.25</v>
      </c>
      <c r="AA36" s="481">
        <f>SUM(R36,U36,X36)</f>
        <v>248</v>
      </c>
      <c r="AB36" s="15">
        <f>IF(ISERROR(AA36/Z36),"",AA36/Z36)</f>
        <v>0.96404275996112732</v>
      </c>
      <c r="AC36" s="14">
        <f>IF(ISERROR($D36/12),"",$D36/12)</f>
        <v>85.75</v>
      </c>
      <c r="AD36" s="263">
        <v>79</v>
      </c>
      <c r="AE36" s="15">
        <f>IF(ISERROR(AD36/AC36),"",AD36/AC36)</f>
        <v>0.92128279883381925</v>
      </c>
      <c r="AF36" s="14">
        <f>IF(ISERROR($D36/12),"",$D36/12)</f>
        <v>85.75</v>
      </c>
      <c r="AG36" s="493">
        <v>86</v>
      </c>
      <c r="AH36" s="15">
        <f>IF(ISERROR(AG36/AF36),"",AG36/AF36)</f>
        <v>1.0029154518950438</v>
      </c>
      <c r="AI36" s="14">
        <f>IF(ISERROR($D36/12),"",$D36/12)</f>
        <v>85.75</v>
      </c>
      <c r="AJ36" s="261">
        <v>64</v>
      </c>
      <c r="AK36" s="15">
        <f>IF(ISERROR(AJ36/AI36),"",AJ36/AI36)</f>
        <v>0.74635568513119532</v>
      </c>
      <c r="AL36" s="14">
        <f>SUM(AC36,AF36,AI36)</f>
        <v>257.25</v>
      </c>
      <c r="AM36" s="483">
        <f>SUM(AD36,AG36,AJ36)</f>
        <v>229</v>
      </c>
      <c r="AN36" s="15">
        <f>IF(ISERROR(AM36/AL36),"",AM36/AL36)</f>
        <v>0.89018464528668606</v>
      </c>
      <c r="AO36" s="14">
        <f>IF(ISERROR($D36/12),"",$D36/12)</f>
        <v>85.75</v>
      </c>
      <c r="AP36" s="263">
        <v>45</v>
      </c>
      <c r="AQ36" s="15">
        <f>IF(ISERROR(AP36/AO36),"",AP36/AO36)</f>
        <v>0.52478134110787167</v>
      </c>
      <c r="AR36" s="14">
        <f>IF(ISERROR($D36/12),"",$D36/12)</f>
        <v>85.75</v>
      </c>
      <c r="AS36" s="263">
        <v>65</v>
      </c>
      <c r="AT36" s="15">
        <f>IF(ISERROR(AS36/AR36),"",AS36/AR36)</f>
        <v>0.75801749271137031</v>
      </c>
      <c r="AU36" s="14">
        <f>IF(ISERROR($D36/12),"",$D36/12)</f>
        <v>85.75</v>
      </c>
      <c r="AV36" s="263">
        <v>38</v>
      </c>
      <c r="AW36" s="15">
        <f>IF(ISERROR(AV36/AU36),"",AV36/AU36)</f>
        <v>0.44314868804664725</v>
      </c>
      <c r="AX36" s="259">
        <f>SUM(AO36,AR36,AU36)</f>
        <v>257.25</v>
      </c>
      <c r="AY36" s="481">
        <f>SUM(AP36,AS36,AV36)</f>
        <v>148</v>
      </c>
      <c r="AZ36" s="15">
        <f>IF(ISERROR(AY36/AX36),"",AY36/AX36)</f>
        <v>0.57531584062196306</v>
      </c>
      <c r="BA36" s="259">
        <f>D36</f>
        <v>1029</v>
      </c>
      <c r="BB36" s="259">
        <v>865</v>
      </c>
      <c r="BC36" s="348">
        <f>IF(ISERROR(BB36/BA36),"",BB36/BA36)</f>
        <v>0.84062196307094261</v>
      </c>
    </row>
    <row r="37" spans="1:55" ht="29.25" customHeight="1" x14ac:dyDescent="0.2">
      <c r="A37" s="1228"/>
      <c r="B37" s="249" t="s">
        <v>380</v>
      </c>
      <c r="C37" s="26" t="s">
        <v>69</v>
      </c>
      <c r="D37" s="16">
        <f>SUM(D35:D36)</f>
        <v>7481</v>
      </c>
      <c r="E37" s="17">
        <f>SUM(E35:E36)</f>
        <v>623.41666666666663</v>
      </c>
      <c r="F37" s="17">
        <f>SUM(F35:F36)</f>
        <v>668</v>
      </c>
      <c r="G37" s="36">
        <f>IF(ISERROR(F37/E37),"",F37/E37)</f>
        <v>1.0715145034086353</v>
      </c>
      <c r="H37" s="17">
        <f>SUM(H35:H36)</f>
        <v>623.41666666666663</v>
      </c>
      <c r="I37" s="17">
        <f>SUM(I35:I36)</f>
        <v>636</v>
      </c>
      <c r="J37" s="36">
        <f>IF(ISERROR(I37/H37),"",I37/H37)</f>
        <v>1.0201844673172036</v>
      </c>
      <c r="K37" s="17">
        <f>SUM(K35:K36)</f>
        <v>623.41666666666663</v>
      </c>
      <c r="L37" s="17">
        <f>SUM(L35:L36)</f>
        <v>849</v>
      </c>
      <c r="M37" s="36">
        <f>IF(ISERROR(L37/K37),"",L37/K37)</f>
        <v>1.3618500200507955</v>
      </c>
      <c r="N37" s="17">
        <f>SUM(N35:N36)</f>
        <v>1870.25</v>
      </c>
      <c r="O37" s="17">
        <f>SUM(O35:O36)</f>
        <v>2153</v>
      </c>
      <c r="P37" s="18">
        <f>IF(ISERROR(O37/N37),"",O37/N37)</f>
        <v>1.1511829969255447</v>
      </c>
      <c r="Q37" s="17">
        <f>SUM(Q35:Q36)</f>
        <v>623.41666666666663</v>
      </c>
      <c r="R37" s="17">
        <f>SUM(R35:R36)</f>
        <v>759</v>
      </c>
      <c r="S37" s="18">
        <f>IF(ISERROR(R37/Q37),"",R37/Q37)</f>
        <v>1.2174842935436441</v>
      </c>
      <c r="T37" s="17">
        <f>SUM(T35:T36)</f>
        <v>623.41666666666663</v>
      </c>
      <c r="U37" s="17">
        <f>SUM(U35:U36)</f>
        <v>664</v>
      </c>
      <c r="V37" s="18">
        <f>IF(ISERROR(U37/T37),"",U37/T37)</f>
        <v>1.0650982488972063</v>
      </c>
      <c r="W37" s="17">
        <f>SUM(W35:W36)</f>
        <v>623.41666666666663</v>
      </c>
      <c r="X37" s="17">
        <f>SUM(X35:X36)</f>
        <v>631</v>
      </c>
      <c r="Y37" s="18">
        <f>IF(ISERROR(X37/W37),"",X37/W37)</f>
        <v>1.0121641491779174</v>
      </c>
      <c r="Z37" s="17">
        <f>SUM(Z35:Z36)</f>
        <v>1870.25</v>
      </c>
      <c r="AA37" s="17">
        <f>SUM(AA35:AA36)</f>
        <v>2054</v>
      </c>
      <c r="AB37" s="18">
        <f>IF(ISERROR(AA37/Z37),"",AA37/Z37)</f>
        <v>1.0982488972062558</v>
      </c>
      <c r="AC37" s="17">
        <f>SUM(AC35:AC36)</f>
        <v>623.41666666666663</v>
      </c>
      <c r="AD37" s="17">
        <f>SUM(AD35:AD36)</f>
        <v>812</v>
      </c>
      <c r="AE37" s="18">
        <f>IF(ISERROR(AD37/AC37),"",AD37/AC37)</f>
        <v>1.3024996658200776</v>
      </c>
      <c r="AF37" s="17">
        <f>SUM(AF35:AF36)</f>
        <v>623.41666666666663</v>
      </c>
      <c r="AG37" s="17">
        <f>SUM(AG35:AG36)</f>
        <v>700</v>
      </c>
      <c r="AH37" s="18">
        <f>IF(ISERROR(AG37/AF37),"",AG37/AF37)</f>
        <v>1.1228445395000668</v>
      </c>
      <c r="AI37" s="17">
        <f>SUM(AI35:AI36)</f>
        <v>623.41666666666663</v>
      </c>
      <c r="AJ37" s="17">
        <f>SUM(AJ35:AJ36)</f>
        <v>749</v>
      </c>
      <c r="AK37" s="18">
        <f>IF(ISERROR(AJ37/AI37),"",AJ37/AI37)</f>
        <v>1.2014436572650715</v>
      </c>
      <c r="AL37" s="17">
        <f>SUM(AL35:AL36)</f>
        <v>1870.25</v>
      </c>
      <c r="AM37" s="17">
        <f>SUM(AM35:AM36)</f>
        <v>2261</v>
      </c>
      <c r="AN37" s="18">
        <f>IF(ISERROR(AM37/AL37),"",AM37/AL37)</f>
        <v>1.2089292875284052</v>
      </c>
      <c r="AO37" s="17">
        <f>SUM(AO35:AO36)</f>
        <v>623.41666666666663</v>
      </c>
      <c r="AP37" s="17">
        <f>SUM(AP35:AP36)</f>
        <v>628</v>
      </c>
      <c r="AQ37" s="18">
        <f>IF(ISERROR(AP37/AO37),"",AP37/AO37)</f>
        <v>1.0073519582943458</v>
      </c>
      <c r="AR37" s="17">
        <f>SUM(AR35:AR36)</f>
        <v>623.41666666666663</v>
      </c>
      <c r="AS37" s="17">
        <f>SUM(AS35:AS36)</f>
        <v>657</v>
      </c>
      <c r="AT37" s="18">
        <f>IF(ISERROR(AS37/AR37),"",AS37/AR37)</f>
        <v>1.0538698035022056</v>
      </c>
      <c r="AU37" s="17">
        <f>SUM(AU35:AU36)</f>
        <v>623.41666666666663</v>
      </c>
      <c r="AV37" s="17">
        <f>SUM(AV35:AV36)</f>
        <v>574</v>
      </c>
      <c r="AW37" s="18">
        <f>IF(ISERROR(AV37/AU37),"",AV37/AU37)</f>
        <v>0.92073252239005487</v>
      </c>
      <c r="AX37" s="17">
        <f>SUM(AX35:AX36)</f>
        <v>1870.25</v>
      </c>
      <c r="AY37" s="17">
        <f>SUM(AY35:AY36)</f>
        <v>1859</v>
      </c>
      <c r="AZ37" s="18">
        <f>IF(ISERROR(AY37/AX37),"",AY37/AX37)</f>
        <v>0.99398476139553538</v>
      </c>
      <c r="BA37" s="17">
        <f>SUM(BA35:BA36)</f>
        <v>7481</v>
      </c>
      <c r="BB37" s="17">
        <f>SUM(BB35:BB36)</f>
        <v>8327</v>
      </c>
      <c r="BC37" s="346">
        <f>IF(ISERROR(BB37/BA37),"",BB37/BA37)</f>
        <v>1.1130864857639353</v>
      </c>
    </row>
    <row r="38" spans="1:55" ht="24.75" customHeight="1" x14ac:dyDescent="0.2">
      <c r="A38" s="1228"/>
      <c r="B38" s="250" t="s">
        <v>73</v>
      </c>
      <c r="C38" s="28"/>
      <c r="D38" s="23"/>
      <c r="E38" s="24"/>
      <c r="F38" s="24"/>
      <c r="G38" s="38"/>
      <c r="H38" s="24"/>
      <c r="I38" s="24"/>
      <c r="J38" s="38"/>
      <c r="K38" s="24"/>
      <c r="L38" s="24"/>
      <c r="M38" s="38"/>
      <c r="N38" s="24"/>
      <c r="O38" s="24"/>
      <c r="P38" s="25"/>
      <c r="Q38" s="24"/>
      <c r="R38" s="24"/>
      <c r="S38" s="25"/>
      <c r="T38" s="24"/>
      <c r="U38" s="24"/>
      <c r="V38" s="25"/>
      <c r="W38" s="24"/>
      <c r="X38" s="24"/>
      <c r="Y38" s="25"/>
      <c r="Z38" s="24"/>
      <c r="AA38" s="24"/>
      <c r="AB38" s="25"/>
      <c r="AC38" s="24"/>
      <c r="AD38" s="24"/>
      <c r="AE38" s="25"/>
      <c r="AF38" s="24"/>
      <c r="AG38" s="24"/>
      <c r="AH38" s="25"/>
      <c r="AI38" s="24"/>
      <c r="AJ38" s="24"/>
      <c r="AK38" s="25"/>
      <c r="AL38" s="24"/>
      <c r="AM38" s="24"/>
      <c r="AN38" s="25"/>
      <c r="AO38" s="24"/>
      <c r="AP38" s="24"/>
      <c r="AQ38" s="25"/>
      <c r="AR38" s="24"/>
      <c r="AS38" s="24"/>
      <c r="AT38" s="25"/>
      <c r="AU38" s="24"/>
      <c r="AV38" s="24"/>
      <c r="AW38" s="25"/>
      <c r="AX38" s="24"/>
      <c r="AY38" s="24"/>
      <c r="AZ38" s="25"/>
      <c r="BA38" s="24"/>
      <c r="BB38" s="24"/>
      <c r="BC38" s="349"/>
    </row>
    <row r="39" spans="1:55" ht="45" customHeight="1" x14ac:dyDescent="0.2">
      <c r="A39" s="1228"/>
      <c r="B39" s="248" t="s">
        <v>381</v>
      </c>
      <c r="C39" s="27" t="s">
        <v>382</v>
      </c>
      <c r="D39" s="479">
        <f>SUM('18_Prog_Scios_Intermedios'!I5:I7)</f>
        <v>159884</v>
      </c>
      <c r="E39" s="14">
        <f>IF(ISERROR($D39/12),"",$D39/12)</f>
        <v>13323.666666666666</v>
      </c>
      <c r="F39" s="261">
        <v>9727</v>
      </c>
      <c r="G39" s="35">
        <f>IF(ISERROR(F39/E39),"",F39/E39)</f>
        <v>0.73005428935978589</v>
      </c>
      <c r="H39" s="14">
        <f>IF(ISERROR($D39/12),"",$D39/12)</f>
        <v>13323.666666666666</v>
      </c>
      <c r="I39" s="263">
        <v>8185</v>
      </c>
      <c r="J39" s="35">
        <f>IF(ISERROR(I39/H39),"",I39/H39)</f>
        <v>0.61432038227715091</v>
      </c>
      <c r="K39" s="14">
        <f>IF(ISERROR($D39/12),"",$D39/12)</f>
        <v>13323.666666666666</v>
      </c>
      <c r="L39" s="263">
        <v>7190</v>
      </c>
      <c r="M39" s="35">
        <f>IF(ISERROR(L39/K39),"",L39/K39)</f>
        <v>0.53964123989892676</v>
      </c>
      <c r="N39" s="259">
        <f>SUM(E39,H39,K39)</f>
        <v>39971</v>
      </c>
      <c r="O39" s="483">
        <f>SUM(F39,I39,L39)</f>
        <v>25102</v>
      </c>
      <c r="P39" s="15">
        <f>IF(ISERROR(O39/N39),"",O39/N39)</f>
        <v>0.62800530384528785</v>
      </c>
      <c r="Q39" s="14">
        <f>IF(ISERROR($D39/12),"",$D39/12)</f>
        <v>13323.666666666666</v>
      </c>
      <c r="R39" s="263">
        <v>7278</v>
      </c>
      <c r="S39" s="15">
        <f>IF(ISERROR(R39/Q39),"",R39/Q39)</f>
        <v>0.54624602837056868</v>
      </c>
      <c r="T39" s="14">
        <f>IF(ISERROR($D39/12),"",$D39/12)</f>
        <v>13323.666666666666</v>
      </c>
      <c r="U39" s="261">
        <v>7172</v>
      </c>
      <c r="V39" s="15">
        <f>IF(ISERROR(U39/T39),"",U39/T39)</f>
        <v>0.53829026043881811</v>
      </c>
      <c r="W39" s="14">
        <f>IF(ISERROR($D39/12),"",$D39/12)</f>
        <v>13323.666666666666</v>
      </c>
      <c r="X39" s="263">
        <v>6808</v>
      </c>
      <c r="Y39" s="15">
        <f>IF(ISERROR(X39/W39),"",X39/W39)</f>
        <v>0.51097045357884474</v>
      </c>
      <c r="Z39" s="259">
        <f>SUM(Q39,T39,W39)</f>
        <v>39971</v>
      </c>
      <c r="AA39" s="481">
        <f>SUM(R39,U39,X39)</f>
        <v>21258</v>
      </c>
      <c r="AB39" s="15">
        <f>IF(ISERROR(AA39/Z39),"",AA39/Z39)</f>
        <v>0.53183558079607718</v>
      </c>
      <c r="AC39" s="14">
        <f>IF(ISERROR($D39/12),"",$D39/12)</f>
        <v>13323.666666666666</v>
      </c>
      <c r="AD39" s="263">
        <v>7857</v>
      </c>
      <c r="AE39" s="15">
        <f>IF(ISERROR(AD39/AC39),"",AD39/AC39)</f>
        <v>0.58970253433739461</v>
      </c>
      <c r="AF39" s="14">
        <f>IF(ISERROR($D39/12),"",$D39/12)</f>
        <v>13323.666666666666</v>
      </c>
      <c r="AG39" s="493">
        <v>7469</v>
      </c>
      <c r="AH39" s="15">
        <f>IF(ISERROR(AG39/AF39),"",AG39/AF39)</f>
        <v>0.56058142153060975</v>
      </c>
      <c r="AI39" s="14">
        <f>IF(ISERROR($D39/12),"",$D39/12)</f>
        <v>13323.666666666666</v>
      </c>
      <c r="AJ39" s="261">
        <v>8486</v>
      </c>
      <c r="AK39" s="15">
        <f>IF(ISERROR(AJ39/AI39),"",AJ39/AI39)</f>
        <v>0.63691176102674441</v>
      </c>
      <c r="AL39" s="14">
        <f>SUM(AC39,AF39,AI39)</f>
        <v>39971</v>
      </c>
      <c r="AM39" s="483">
        <f>SUM(AD39,AG39,AJ39)</f>
        <v>23812</v>
      </c>
      <c r="AN39" s="15">
        <f>IF(ISERROR(AM39/AL39),"",AM39/AL39)</f>
        <v>0.59573190563158285</v>
      </c>
      <c r="AO39" s="14">
        <f>IF(ISERROR($D39/12),"",$D39/12)</f>
        <v>13323.666666666666</v>
      </c>
      <c r="AP39" s="263">
        <v>8965</v>
      </c>
      <c r="AQ39" s="15">
        <f>IF(ISERROR(AP39/AO39),"",AP39/AO39)</f>
        <v>0.67286282554852272</v>
      </c>
      <c r="AR39" s="14">
        <f>IF(ISERROR($D39/12),"",$D39/12)</f>
        <v>13323.666666666666</v>
      </c>
      <c r="AS39" s="263"/>
      <c r="AT39" s="15">
        <f>IF(ISERROR(AS39/AR39),"",AS39/AR39)</f>
        <v>0</v>
      </c>
      <c r="AU39" s="14">
        <f>IF(ISERROR($D39/12),"",$D39/12)</f>
        <v>13323.666666666666</v>
      </c>
      <c r="AV39" s="263">
        <v>6520</v>
      </c>
      <c r="AW39" s="15">
        <f>IF(ISERROR(AV39/AU39),"",AV39/AU39)</f>
        <v>0.48935478221710743</v>
      </c>
      <c r="AX39" s="259">
        <f>SUM(AO39,AR39,AU39)</f>
        <v>39971</v>
      </c>
      <c r="AY39" s="481">
        <f>SUM(AP39,AS39,AV39)</f>
        <v>15485</v>
      </c>
      <c r="AZ39" s="15">
        <f>IF(ISERROR(AY39/AX39),"",AY39/AX39)</f>
        <v>0.38740586925521003</v>
      </c>
      <c r="BA39" s="259">
        <f>D39</f>
        <v>159884</v>
      </c>
      <c r="BB39" s="259">
        <v>85657</v>
      </c>
      <c r="BC39" s="348">
        <f>IF(ISERROR(BB39/BA39),"",BB39/BA39)</f>
        <v>0.53574466488203953</v>
      </c>
    </row>
    <row r="40" spans="1:55" ht="46.5" customHeight="1" x14ac:dyDescent="0.2">
      <c r="A40" s="1228"/>
      <c r="B40" s="248" t="s">
        <v>383</v>
      </c>
      <c r="C40" s="27" t="s">
        <v>382</v>
      </c>
      <c r="D40" s="479">
        <f>SUM('18_Prog_Scios_Intermedios'!I9:I15)</f>
        <v>43750</v>
      </c>
      <c r="E40" s="14">
        <f>IF(ISERROR($D40/12),"",$D40/12)</f>
        <v>3645.8333333333335</v>
      </c>
      <c r="F40" s="261">
        <v>4312</v>
      </c>
      <c r="G40" s="35">
        <f>IF(ISERROR(F40/E40),"",F40/E40)</f>
        <v>1.18272</v>
      </c>
      <c r="H40" s="14">
        <f>IF(ISERROR($D40/12),"",$D40/12)</f>
        <v>3645.8333333333335</v>
      </c>
      <c r="I40" s="263">
        <v>3650</v>
      </c>
      <c r="J40" s="35">
        <f>IF(ISERROR(I40/H40),"",I40/H40)</f>
        <v>1.0011428571428571</v>
      </c>
      <c r="K40" s="14">
        <f>IF(ISERROR($D40/12),"",$D40/12)</f>
        <v>3645.8333333333335</v>
      </c>
      <c r="L40" s="263"/>
      <c r="M40" s="35">
        <f>IF(ISERROR(L40/K40),"",L40/K40)</f>
        <v>0</v>
      </c>
      <c r="N40" s="259">
        <f>SUM(E40,H40,K40)</f>
        <v>10937.5</v>
      </c>
      <c r="O40" s="483">
        <f>SUM(F40,I40,L40)</f>
        <v>7962</v>
      </c>
      <c r="P40" s="15">
        <f>IF(ISERROR(O40/N40),"",O40/N40)</f>
        <v>0.72795428571428566</v>
      </c>
      <c r="Q40" s="14">
        <f>IF(ISERROR($D40/12),"",$D40/12)</f>
        <v>3645.8333333333335</v>
      </c>
      <c r="R40" s="263">
        <v>3090</v>
      </c>
      <c r="S40" s="15">
        <f>IF(ISERROR(R40/Q40),"",R40/Q40)</f>
        <v>0.84754285714285715</v>
      </c>
      <c r="T40" s="14">
        <f>IF(ISERROR($D40/12),"",$D40/12)</f>
        <v>3645.8333333333335</v>
      </c>
      <c r="U40" s="261">
        <v>3261</v>
      </c>
      <c r="V40" s="15">
        <f>IF(ISERROR(U40/T40),"",U40/T40)</f>
        <v>0.89444571428571429</v>
      </c>
      <c r="W40" s="14">
        <f>IF(ISERROR($D40/12),"",$D40/12)</f>
        <v>3645.8333333333335</v>
      </c>
      <c r="X40" s="263">
        <v>4262</v>
      </c>
      <c r="Y40" s="15">
        <f>IF(ISERROR(X40/W40),"",X40/W40)</f>
        <v>1.1690057142857142</v>
      </c>
      <c r="Z40" s="259">
        <f>SUM(Q40,T40,W40)</f>
        <v>10937.5</v>
      </c>
      <c r="AA40" s="481">
        <f>SUM(R40,U40,X40)</f>
        <v>10613</v>
      </c>
      <c r="AB40" s="15">
        <f>IF(ISERROR(AA40/Z40),"",AA40/Z40)</f>
        <v>0.97033142857142862</v>
      </c>
      <c r="AC40" s="14">
        <f>IF(ISERROR($D40/12),"",$D40/12)</f>
        <v>3645.8333333333335</v>
      </c>
      <c r="AD40" s="263">
        <v>3253</v>
      </c>
      <c r="AE40" s="15">
        <f>IF(ISERROR(AD40/AC40),"",AD40/AC40)</f>
        <v>0.89225142857142858</v>
      </c>
      <c r="AF40" s="14">
        <f>IF(ISERROR($D40/12),"",$D40/12)</f>
        <v>3645.8333333333335</v>
      </c>
      <c r="AG40" s="493">
        <v>3129</v>
      </c>
      <c r="AH40" s="15">
        <f>IF(ISERROR(AG40/AF40),"",AG40/AF40)</f>
        <v>0.85824</v>
      </c>
      <c r="AI40" s="14">
        <f>IF(ISERROR($D40/12),"",$D40/12)</f>
        <v>3645.8333333333335</v>
      </c>
      <c r="AJ40" s="261">
        <v>4667</v>
      </c>
      <c r="AK40" s="15">
        <f>IF(ISERROR(AJ40/AI40),"",AJ40/AI40)</f>
        <v>1.2800914285714284</v>
      </c>
      <c r="AL40" s="14">
        <f>SUM(AC40,AF40,AI40)</f>
        <v>10937.5</v>
      </c>
      <c r="AM40" s="483">
        <f>SUM(AD40,AG40,AJ40)</f>
        <v>11049</v>
      </c>
      <c r="AN40" s="15">
        <f>IF(ISERROR(AM40/AL40),"",AM40/AL40)</f>
        <v>1.0101942857142858</v>
      </c>
      <c r="AO40" s="14">
        <f>IF(ISERROR($D40/12),"",$D40/12)</f>
        <v>3645.8333333333335</v>
      </c>
      <c r="AP40" s="263">
        <v>3702</v>
      </c>
      <c r="AQ40" s="15">
        <f>IF(ISERROR(AP40/AO40),"",AP40/AO40)</f>
        <v>1.0154057142857142</v>
      </c>
      <c r="AR40" s="14">
        <f>IF(ISERROR($D40/12),"",$D40/12)</f>
        <v>3645.8333333333335</v>
      </c>
      <c r="AS40" s="263"/>
      <c r="AT40" s="15">
        <f>IF(ISERROR(AS40/AR40),"",AS40/AR40)</f>
        <v>0</v>
      </c>
      <c r="AU40" s="14">
        <f>IF(ISERROR($D40/12),"",$D40/12)</f>
        <v>3645.8333333333335</v>
      </c>
      <c r="AV40" s="263">
        <v>2631</v>
      </c>
      <c r="AW40" s="15">
        <f>IF(ISERROR(AV40/AU40),"",AV40/AU40)</f>
        <v>0.72164571428571422</v>
      </c>
      <c r="AX40" s="259">
        <f>SUM(AO40,AR40,AU40)</f>
        <v>10937.5</v>
      </c>
      <c r="AY40" s="481">
        <f>SUM(AP40,AS40,AV40)</f>
        <v>6333</v>
      </c>
      <c r="AZ40" s="15">
        <f>IF(ISERROR(AY40/AX40),"",AY40/AX40)</f>
        <v>0.5790171428571429</v>
      </c>
      <c r="BA40" s="259">
        <f>D40</f>
        <v>43750</v>
      </c>
      <c r="BB40" s="259">
        <v>35967</v>
      </c>
      <c r="BC40" s="348">
        <f>IF(ISERROR(BB40/BA40),"",BB40/BA40)</f>
        <v>0.82210285714285714</v>
      </c>
    </row>
    <row r="41" spans="1:55" ht="29.25" customHeight="1" x14ac:dyDescent="0.2">
      <c r="A41" s="1228"/>
      <c r="B41" s="249" t="s">
        <v>384</v>
      </c>
      <c r="C41" s="26" t="s">
        <v>382</v>
      </c>
      <c r="D41" s="16">
        <f>SUM(D39:D40)</f>
        <v>203634</v>
      </c>
      <c r="E41" s="17">
        <f>SUM(E39:E40)</f>
        <v>16969.5</v>
      </c>
      <c r="F41" s="17">
        <f>SUM(F39:F40)</f>
        <v>14039</v>
      </c>
      <c r="G41" s="36">
        <f>IF(ISERROR(F41/E41),"",F41/E41)</f>
        <v>0.82730781696573263</v>
      </c>
      <c r="H41" s="17">
        <f>SUM(H39:H40)</f>
        <v>16969.5</v>
      </c>
      <c r="I41" s="17">
        <f>SUM(I39:I40)</f>
        <v>11835</v>
      </c>
      <c r="J41" s="36">
        <f>IF(ISERROR(I41/H41),"",I41/H41)</f>
        <v>0.69742773800053037</v>
      </c>
      <c r="K41" s="17">
        <f>SUM(K39:K40)</f>
        <v>16969.5</v>
      </c>
      <c r="L41" s="17">
        <f>SUM(L39:L40)</f>
        <v>7190</v>
      </c>
      <c r="M41" s="36">
        <f>IF(ISERROR(L41/K41),"",L41/K41)</f>
        <v>0.42370134653348657</v>
      </c>
      <c r="N41" s="17">
        <f>SUM(N39:N40)</f>
        <v>50908.5</v>
      </c>
      <c r="O41" s="17">
        <f>SUM(O39:O40)</f>
        <v>33064</v>
      </c>
      <c r="P41" s="18">
        <f>IF(ISERROR(O41/N41),"",O41/N41)</f>
        <v>0.64947896716658315</v>
      </c>
      <c r="Q41" s="17">
        <f>SUM(Q39:Q40)</f>
        <v>16969.5</v>
      </c>
      <c r="R41" s="17">
        <f>SUM(R39:R40)</f>
        <v>10368</v>
      </c>
      <c r="S41" s="18">
        <f>IF(ISERROR(R41/Q41),"",R41/Q41)</f>
        <v>0.61097852028639621</v>
      </c>
      <c r="T41" s="17">
        <f>SUM(T39:T40)</f>
        <v>16969.5</v>
      </c>
      <c r="U41" s="17">
        <f>SUM(U39:U40)</f>
        <v>10433</v>
      </c>
      <c r="V41" s="18">
        <f>IF(ISERROR(U41/T41),"",U41/T41)</f>
        <v>0.61480892188927194</v>
      </c>
      <c r="W41" s="17">
        <f>SUM(W39:W40)</f>
        <v>16969.5</v>
      </c>
      <c r="X41" s="17">
        <f>SUM(X39:X40)</f>
        <v>11070</v>
      </c>
      <c r="Y41" s="18">
        <f>IF(ISERROR(X41/W41),"",X41/W41)</f>
        <v>0.65234685759745425</v>
      </c>
      <c r="Z41" s="17">
        <f>SUM(Z39:Z40)</f>
        <v>50908.5</v>
      </c>
      <c r="AA41" s="17">
        <f>SUM(AA39:AA40)</f>
        <v>31871</v>
      </c>
      <c r="AB41" s="18">
        <f>IF(ISERROR(AA41/Z41),"",AA41/Z41)</f>
        <v>0.6260447665910408</v>
      </c>
      <c r="AC41" s="17">
        <f>SUM(AC39:AC40)</f>
        <v>16969.5</v>
      </c>
      <c r="AD41" s="17">
        <f>SUM(AD39:AD40)</f>
        <v>11110</v>
      </c>
      <c r="AE41" s="18">
        <f>IF(ISERROR(AD41/AC41),"",AD41/AC41)</f>
        <v>0.65470402781460857</v>
      </c>
      <c r="AF41" s="17">
        <f>SUM(AF39:AF40)</f>
        <v>16969.5</v>
      </c>
      <c r="AG41" s="17">
        <f>SUM(AG39:AG40)</f>
        <v>10598</v>
      </c>
      <c r="AH41" s="18">
        <f>IF(ISERROR(AG41/AF41),"",AG41/AF41)</f>
        <v>0.62453224903503346</v>
      </c>
      <c r="AI41" s="17">
        <f>SUM(AI39:AI40)</f>
        <v>16969.5</v>
      </c>
      <c r="AJ41" s="17">
        <f>SUM(AJ39:AJ40)</f>
        <v>13153</v>
      </c>
      <c r="AK41" s="18">
        <f>IF(ISERROR(AJ41/AI41),"",AJ41/AI41)</f>
        <v>0.77509649665576474</v>
      </c>
      <c r="AL41" s="17">
        <f>SUM(AL39:AL40)</f>
        <v>50908.5</v>
      </c>
      <c r="AM41" s="17">
        <f>SUM(AM39:AM40)</f>
        <v>34861</v>
      </c>
      <c r="AN41" s="18">
        <f>IF(ISERROR(AM41/AL41),"",AM41/AL41)</f>
        <v>0.68477759116846892</v>
      </c>
      <c r="AO41" s="17">
        <f>SUM(AO39:AO40)</f>
        <v>16969.5</v>
      </c>
      <c r="AP41" s="17">
        <f>SUM(AP39:AP40)</f>
        <v>12667</v>
      </c>
      <c r="AQ41" s="18">
        <f>IF(ISERROR(AP41/AO41),"",AP41/AO41)</f>
        <v>0.74645687851733988</v>
      </c>
      <c r="AR41" s="17">
        <f>SUM(AR39:AR40)</f>
        <v>16969.5</v>
      </c>
      <c r="AS41" s="17">
        <f>SUM(AS39:AS40)</f>
        <v>0</v>
      </c>
      <c r="AT41" s="18">
        <f>IF(ISERROR(AS41/AR41),"",AS41/AR41)</f>
        <v>0</v>
      </c>
      <c r="AU41" s="17">
        <f>SUM(AU39:AU40)</f>
        <v>16969.5</v>
      </c>
      <c r="AV41" s="17">
        <f>SUM(AV39:AV40)</f>
        <v>9151</v>
      </c>
      <c r="AW41" s="18">
        <f>IF(ISERROR(AV41/AU41),"",AV41/AU41)</f>
        <v>0.53926161642947645</v>
      </c>
      <c r="AX41" s="17">
        <f>SUM(AX39:AX40)</f>
        <v>50908.5</v>
      </c>
      <c r="AY41" s="17">
        <f>SUM(AY39:AY40)</f>
        <v>21818</v>
      </c>
      <c r="AZ41" s="18">
        <f>IF(ISERROR(AY41/AX41),"",AY41/AX41)</f>
        <v>0.42857283164893878</v>
      </c>
      <c r="BA41" s="17">
        <f>SUM(BA39:BA40)</f>
        <v>203634</v>
      </c>
      <c r="BB41" s="17">
        <f>SUM(BB39:BB40)</f>
        <v>121624</v>
      </c>
      <c r="BC41" s="346">
        <f>IF(ISERROR(BB41/BA41),"",BB41/BA41)</f>
        <v>0.59726764685661526</v>
      </c>
    </row>
    <row r="42" spans="1:55" ht="29.25" customHeight="1" x14ac:dyDescent="0.2">
      <c r="A42" s="1228"/>
      <c r="B42" s="248" t="s">
        <v>385</v>
      </c>
      <c r="C42" s="27" t="s">
        <v>69</v>
      </c>
      <c r="D42" s="480">
        <f>'18_Prog_Scios_Intermedios'!L18</f>
        <v>0</v>
      </c>
      <c r="E42" s="14">
        <f>IF(ISERROR($D42/12),"",$D42/12)</f>
        <v>0</v>
      </c>
      <c r="F42" s="263"/>
      <c r="G42" s="35" t="str">
        <f>IF(ISERROR(F42/E42),"",F42/E42)</f>
        <v/>
      </c>
      <c r="H42" s="14">
        <f>IF(ISERROR($D42/12),"",$D42/12)</f>
        <v>0</v>
      </c>
      <c r="I42" s="263"/>
      <c r="J42" s="35" t="str">
        <f>IF(ISERROR(I42/H42),"",I42/H42)</f>
        <v/>
      </c>
      <c r="K42" s="14">
        <f>IF(ISERROR($D42/12),"",$D42/12)</f>
        <v>0</v>
      </c>
      <c r="L42" s="263"/>
      <c r="M42" s="35" t="str">
        <f>IF(ISERROR(L42/K42),"",L42/K42)</f>
        <v/>
      </c>
      <c r="N42" s="259">
        <f>SUM(E42,H42,K42)</f>
        <v>0</v>
      </c>
      <c r="O42" s="259"/>
      <c r="P42" s="15" t="str">
        <f>IF(ISERROR(O42/N42),"",O42/N42)</f>
        <v/>
      </c>
      <c r="Q42" s="14">
        <f>IF(ISERROR($D42/12),"",$D42/12)</f>
        <v>0</v>
      </c>
      <c r="R42" s="494">
        <f>F42+I42+L42+O42</f>
        <v>0</v>
      </c>
      <c r="S42" s="15" t="str">
        <f>IF(ISERROR(R42/Q42),"",R42/Q42)</f>
        <v/>
      </c>
      <c r="T42" s="14">
        <f>IF(ISERROR($D42/12),"",$D42/12)</f>
        <v>0</v>
      </c>
      <c r="U42" s="263"/>
      <c r="V42" s="15" t="str">
        <f>IF(ISERROR(U42/T42),"",U42/T42)</f>
        <v/>
      </c>
      <c r="W42" s="14">
        <f>IF(ISERROR($D42/12),"",$D42/12)</f>
        <v>0</v>
      </c>
      <c r="X42" s="263"/>
      <c r="Y42" s="15" t="str">
        <f>IF(ISERROR(X42/W42),"",X42/W42)</f>
        <v/>
      </c>
      <c r="Z42" s="259">
        <f>SUM(Q42,T42,W42)</f>
        <v>0</v>
      </c>
      <c r="AA42" s="481">
        <f>SUM(R42,U42,X42)</f>
        <v>0</v>
      </c>
      <c r="AB42" s="15" t="str">
        <f>IF(ISERROR(AA42/Z42),"",AA42/Z42)</f>
        <v/>
      </c>
      <c r="AC42" s="14">
        <f>IF(ISERROR($D42/12),"",$D42/12)</f>
        <v>0</v>
      </c>
      <c r="AD42" s="263"/>
      <c r="AE42" s="15" t="str">
        <f>IF(ISERROR(AD42/AC42),"",AD42/AC42)</f>
        <v/>
      </c>
      <c r="AF42" s="14">
        <f>IF(ISERROR($D42/12),"",$D42/12)</f>
        <v>0</v>
      </c>
      <c r="AG42" s="493"/>
      <c r="AH42" s="15" t="str">
        <f>IF(ISERROR(AG42/AF42),"",AG42/AF42)</f>
        <v/>
      </c>
      <c r="AI42" s="14">
        <f>IF(ISERROR($D42/12),"",$D42/12)</f>
        <v>0</v>
      </c>
      <c r="AJ42" s="263"/>
      <c r="AK42" s="15" t="str">
        <f>IF(ISERROR(AJ42/AI42),"",AJ42/AI42)</f>
        <v/>
      </c>
      <c r="AL42" s="14">
        <f>SUM(AC42,AF42,AI42)</f>
        <v>0</v>
      </c>
      <c r="AM42" s="483">
        <f>SUM(AD42,AG42,AJ42)</f>
        <v>0</v>
      </c>
      <c r="AN42" s="15" t="str">
        <f>IF(ISERROR(AM42/AL42),"",AM42/AL42)</f>
        <v/>
      </c>
      <c r="AO42" s="14">
        <f>IF(ISERROR($D42/12),"",$D42/12)</f>
        <v>0</v>
      </c>
      <c r="AP42" s="263"/>
      <c r="AQ42" s="15" t="str">
        <f>IF(ISERROR(AP42/AO42),"",AP42/AO42)</f>
        <v/>
      </c>
      <c r="AR42" s="14">
        <f>IF(ISERROR($D42/12),"",$D42/12)</f>
        <v>0</v>
      </c>
      <c r="AS42" s="263"/>
      <c r="AT42" s="15" t="str">
        <f>IF(ISERROR(AS42/AR42),"",AS42/AR42)</f>
        <v/>
      </c>
      <c r="AU42" s="14">
        <f>IF(ISERROR($D42/12),"",$D42/12)</f>
        <v>0</v>
      </c>
      <c r="AV42" s="493"/>
      <c r="AW42" s="15" t="str">
        <f>IF(ISERROR(AV42/AU42),"",AV42/AU42)</f>
        <v/>
      </c>
      <c r="AX42" s="259">
        <f>SUM(AO42,AR42,AU42)</f>
        <v>0</v>
      </c>
      <c r="AY42" s="481">
        <f>SUM(AP42,AS42,AV42)</f>
        <v>0</v>
      </c>
      <c r="AZ42" s="15" t="str">
        <f>IF(ISERROR(AY42/AX42),"",AY42/AX42)</f>
        <v/>
      </c>
      <c r="BA42" s="259">
        <f>D42</f>
        <v>0</v>
      </c>
      <c r="BB42" s="259"/>
      <c r="BC42" s="348" t="str">
        <f>IF(ISERROR(BB42/BA42),"",BB42/BA42)</f>
        <v/>
      </c>
    </row>
    <row r="43" spans="1:55" ht="3" customHeight="1" x14ac:dyDescent="0.2">
      <c r="A43" s="1228"/>
      <c r="B43" s="29"/>
      <c r="C43" s="29"/>
      <c r="D43" s="29"/>
      <c r="E43" s="29"/>
      <c r="F43" s="29"/>
      <c r="G43" s="39"/>
      <c r="H43" s="29"/>
      <c r="I43" s="29"/>
      <c r="J43" s="39"/>
      <c r="K43" s="29"/>
      <c r="L43" s="29"/>
      <c r="M43" s="3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350"/>
    </row>
    <row r="44" spans="1:55" ht="29.25" customHeight="1" x14ac:dyDescent="0.2">
      <c r="A44" s="1228"/>
      <c r="B44" s="248" t="s">
        <v>386</v>
      </c>
      <c r="C44" s="30" t="s">
        <v>387</v>
      </c>
      <c r="D44" s="480">
        <f>'18_Prog_Scios_Intermedios'!O18</f>
        <v>311</v>
      </c>
      <c r="E44" s="14">
        <f>IF(ISERROR($D44/12),"",$D44/12)</f>
        <v>25.916666666666668</v>
      </c>
      <c r="F44" s="263"/>
      <c r="G44" s="35">
        <f>IF(ISERROR(F44/E44),"",F44/E44)</f>
        <v>0</v>
      </c>
      <c r="H44" s="14">
        <f>IF(ISERROR($D44/12),"",$D44/12)</f>
        <v>25.916666666666668</v>
      </c>
      <c r="I44" s="263"/>
      <c r="J44" s="35">
        <f>IF(ISERROR(I44/H44),"",I44/H44)</f>
        <v>0</v>
      </c>
      <c r="K44" s="14">
        <f>IF(ISERROR($D44/12),"",$D44/12)</f>
        <v>25.916666666666668</v>
      </c>
      <c r="L44" s="263"/>
      <c r="M44" s="35">
        <f>IF(ISERROR(L44/K44),"",L44/K44)</f>
        <v>0</v>
      </c>
      <c r="N44" s="259">
        <f>SUM(E44,H44,K44)</f>
        <v>77.75</v>
      </c>
      <c r="O44" s="483">
        <f>SUM(F44,I44,L44)</f>
        <v>0</v>
      </c>
      <c r="P44" s="15">
        <f>IF(ISERROR(O44/N44),"",O44/N44)</f>
        <v>0</v>
      </c>
      <c r="Q44" s="14">
        <f>IF(ISERROR($D44/12),"",$D44/12)</f>
        <v>25.916666666666668</v>
      </c>
      <c r="R44" s="263"/>
      <c r="S44" s="15">
        <f>IF(ISERROR(R44/Q44),"",R44/Q44)</f>
        <v>0</v>
      </c>
      <c r="T44" s="14">
        <f>IF(ISERROR($D44/12),"",$D44/12)</f>
        <v>25.916666666666668</v>
      </c>
      <c r="U44" s="263"/>
      <c r="V44" s="15">
        <f>IF(ISERROR(U44/T44),"",U44/T44)</f>
        <v>0</v>
      </c>
      <c r="W44" s="259">
        <f>IF(ISERROR($D44/12),"",$D44/12)</f>
        <v>25.916666666666668</v>
      </c>
      <c r="X44" s="263">
        <v>32</v>
      </c>
      <c r="Y44" s="15">
        <f>IF(ISERROR(X44/W44),"",X44/W44)</f>
        <v>1.2347266881028938</v>
      </c>
      <c r="Z44" s="259">
        <f>SUM(Q44,T44,W44)</f>
        <v>77.75</v>
      </c>
      <c r="AA44" s="481">
        <f>SUM(R44,U44,X44)</f>
        <v>32</v>
      </c>
      <c r="AB44" s="15">
        <f>IF(ISERROR(AA44/Z44),"",AA44/Z44)</f>
        <v>0.41157556270096463</v>
      </c>
      <c r="AC44" s="14">
        <f>IF(ISERROR($D44/12),"",$D44/12)</f>
        <v>25.916666666666668</v>
      </c>
      <c r="AD44" s="263"/>
      <c r="AE44" s="15">
        <f>IF(ISERROR(AD44/AC44),"",AD44/AC44)</f>
        <v>0</v>
      </c>
      <c r="AF44" s="14">
        <f>IF(ISERROR($D44/12),"",$D44/12)</f>
        <v>25.916666666666668</v>
      </c>
      <c r="AG44" s="493"/>
      <c r="AH44" s="15">
        <f>IF(ISERROR(AG44/AF44),"",AG44/AF44)</f>
        <v>0</v>
      </c>
      <c r="AI44" s="14">
        <f>IF(ISERROR($D44/12),"",$D44/12)</f>
        <v>25.916666666666668</v>
      </c>
      <c r="AJ44" s="263"/>
      <c r="AK44" s="15">
        <f>IF(ISERROR(AJ44/AI44),"",AJ44/AI44)</f>
        <v>0</v>
      </c>
      <c r="AL44" s="14">
        <f>SUM(AC44,AF44,AI44)</f>
        <v>77.75</v>
      </c>
      <c r="AM44" s="483">
        <f>SUM(AD44,AG44,AJ44)</f>
        <v>0</v>
      </c>
      <c r="AN44" s="15">
        <f>IF(ISERROR(AM44/AL44),"",AM44/AL44)</f>
        <v>0</v>
      </c>
      <c r="AO44" s="14">
        <f>IF(ISERROR($D44/12),"",$D44/12)</f>
        <v>25.916666666666668</v>
      </c>
      <c r="AP44" s="263"/>
      <c r="AQ44" s="15">
        <f>IF(ISERROR(AP44/AO44),"",AP44/AO44)</f>
        <v>0</v>
      </c>
      <c r="AR44" s="14">
        <f>IF(ISERROR($D44/12),"",$D44/12)</f>
        <v>25.916666666666668</v>
      </c>
      <c r="AS44" s="263"/>
      <c r="AT44" s="15">
        <f>IF(ISERROR(AS44/AR44),"",AS44/AR44)</f>
        <v>0</v>
      </c>
      <c r="AU44" s="14">
        <f>IF(ISERROR($D44/12),"",$D44/12)</f>
        <v>25.916666666666668</v>
      </c>
      <c r="AV44" s="493"/>
      <c r="AW44" s="15">
        <f>IF(ISERROR(AV44/AU44),"",AV44/AU44)</f>
        <v>0</v>
      </c>
      <c r="AX44" s="14">
        <f>SUM(AO44,AR44,AU44)</f>
        <v>77.75</v>
      </c>
      <c r="AY44" s="481">
        <f>SUM(AP44,AS44,AV44)</f>
        <v>0</v>
      </c>
      <c r="AZ44" s="15">
        <f>IF(ISERROR(AY44/AX44),"",AY44/AX44)</f>
        <v>0</v>
      </c>
      <c r="BA44" s="259">
        <f>D44</f>
        <v>311</v>
      </c>
      <c r="BB44" s="259"/>
      <c r="BC44" s="348">
        <f>IF(ISERROR(BB44/BA44),"",BB44/BA44)</f>
        <v>0</v>
      </c>
    </row>
    <row r="45" spans="1:55" ht="3" customHeight="1" x14ac:dyDescent="0.2">
      <c r="A45" s="1228"/>
      <c r="B45" s="29"/>
      <c r="C45" s="29"/>
      <c r="D45" s="29"/>
      <c r="E45" s="29"/>
      <c r="F45" s="29"/>
      <c r="G45" s="39"/>
      <c r="H45" s="29"/>
      <c r="I45" s="29"/>
      <c r="J45" s="39"/>
      <c r="K45" s="29"/>
      <c r="L45" s="29"/>
      <c r="M45" s="3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350"/>
    </row>
    <row r="46" spans="1:55" ht="25.5" customHeight="1" x14ac:dyDescent="0.2">
      <c r="A46" s="1228"/>
      <c r="B46" s="250" t="s">
        <v>80</v>
      </c>
      <c r="C46" s="28"/>
      <c r="D46" s="23"/>
      <c r="E46" s="24"/>
      <c r="F46" s="24"/>
      <c r="G46" s="38"/>
      <c r="H46" s="24"/>
      <c r="I46" s="24"/>
      <c r="J46" s="38"/>
      <c r="K46" s="24"/>
      <c r="L46" s="24"/>
      <c r="M46" s="38"/>
      <c r="N46" s="24"/>
      <c r="O46" s="24"/>
      <c r="P46" s="25"/>
      <c r="Q46" s="24"/>
      <c r="R46" s="24"/>
      <c r="S46" s="25"/>
      <c r="T46" s="24"/>
      <c r="U46" s="24"/>
      <c r="V46" s="25"/>
      <c r="W46" s="24"/>
      <c r="X46" s="24"/>
      <c r="Y46" s="25"/>
      <c r="Z46" s="24"/>
      <c r="AA46" s="24"/>
      <c r="AB46" s="25"/>
      <c r="AC46" s="24"/>
      <c r="AD46" s="24"/>
      <c r="AE46" s="25"/>
      <c r="AF46" s="24"/>
      <c r="AG46" s="24"/>
      <c r="AH46" s="25"/>
      <c r="AI46" s="24"/>
      <c r="AJ46" s="24"/>
      <c r="AK46" s="25"/>
      <c r="AL46" s="24"/>
      <c r="AM46" s="24"/>
      <c r="AN46" s="25"/>
      <c r="AO46" s="24"/>
      <c r="AP46" s="24"/>
      <c r="AQ46" s="25"/>
      <c r="AR46" s="24"/>
      <c r="AS46" s="24"/>
      <c r="AT46" s="25"/>
      <c r="AU46" s="24"/>
      <c r="AV46" s="24"/>
      <c r="AW46" s="25"/>
      <c r="AX46" s="24"/>
      <c r="AY46" s="24"/>
      <c r="AZ46" s="25"/>
      <c r="BA46" s="24"/>
      <c r="BB46" s="24"/>
      <c r="BC46" s="349"/>
    </row>
    <row r="47" spans="1:55" ht="45" customHeight="1" x14ac:dyDescent="0.2">
      <c r="A47" s="1228"/>
      <c r="B47" s="248" t="s">
        <v>388</v>
      </c>
      <c r="C47" s="27" t="s">
        <v>389</v>
      </c>
      <c r="D47" s="479">
        <f>SUM('18_Prog_Scios_Intermedios'!R5:R7)</f>
        <v>275075</v>
      </c>
      <c r="E47" s="14">
        <f t="shared" ref="E47:E54" si="43">IF(ISERROR($D47/12),"",$D47/12)</f>
        <v>22922.916666666668</v>
      </c>
      <c r="F47" s="261">
        <v>13438</v>
      </c>
      <c r="G47" s="35">
        <f t="shared" ref="G47:G54" si="44">IF(ISERROR(F47/E47),"",F47/E47)</f>
        <v>0.58622557484322457</v>
      </c>
      <c r="H47" s="14">
        <f>IF(ISERROR($D47/12),"",$D47/12)</f>
        <v>22922.916666666668</v>
      </c>
      <c r="I47" s="263">
        <v>12520</v>
      </c>
      <c r="J47" s="35">
        <f t="shared" ref="J47:J54" si="45">IF(ISERROR(I47/H47),"",I47/H47)</f>
        <v>0.54617831500499858</v>
      </c>
      <c r="K47" s="14">
        <f>IF(ISERROR($D47/12),"",$D47/12)</f>
        <v>22922.916666666668</v>
      </c>
      <c r="L47" s="263">
        <v>13667</v>
      </c>
      <c r="M47" s="35">
        <f t="shared" ref="M47:M54" si="46">IF(ISERROR(L47/K47),"",L47/K47)</f>
        <v>0.59621557756975363</v>
      </c>
      <c r="N47" s="259">
        <f t="shared" ref="N47:O54" si="47">SUM(E47,H47,K47)</f>
        <v>68768.75</v>
      </c>
      <c r="O47" s="483">
        <f t="shared" si="47"/>
        <v>39625</v>
      </c>
      <c r="P47" s="15">
        <f t="shared" ref="P47:P54" si="48">IF(ISERROR(O47/N47),"",O47/N47)</f>
        <v>0.57620648913932559</v>
      </c>
      <c r="Q47" s="14">
        <f>IF(ISERROR($D47/12),"",$D47/12)</f>
        <v>22922.916666666668</v>
      </c>
      <c r="R47" s="263"/>
      <c r="S47" s="15">
        <f t="shared" ref="S47:S54" si="49">IF(ISERROR(R47/Q47),"",R47/Q47)</f>
        <v>0</v>
      </c>
      <c r="T47" s="14">
        <f>IF(ISERROR($D47/12),"",$D47/12)</f>
        <v>22922.916666666668</v>
      </c>
      <c r="U47" s="261">
        <v>13064</v>
      </c>
      <c r="V47" s="15">
        <f t="shared" ref="V47:V54" si="50">IF(ISERROR(U47/T47),"",U47/T47)</f>
        <v>0.56991002453876216</v>
      </c>
      <c r="W47" s="14">
        <f>IF(ISERROR($D47/12),"",$D47/12)</f>
        <v>22922.916666666668</v>
      </c>
      <c r="X47" s="263">
        <v>13473</v>
      </c>
      <c r="Y47" s="15">
        <f t="shared" ref="Y47:Y54" si="51">IF(ISERROR(X47/W47),"",X47/W47)</f>
        <v>0.58775243115513942</v>
      </c>
      <c r="Z47" s="259">
        <f>SUM(Q47,T47,W47)</f>
        <v>68768.75</v>
      </c>
      <c r="AA47" s="481">
        <f>SUM(R47,U47,X47)</f>
        <v>26537</v>
      </c>
      <c r="AB47" s="15">
        <f t="shared" ref="AB47:AB54" si="52">IF(ISERROR(AA47/Z47),"",AA47/Z47)</f>
        <v>0.38588748523130056</v>
      </c>
      <c r="AC47" s="14">
        <f>IF(ISERROR($D47/12),"",$D47/12)</f>
        <v>22922.916666666668</v>
      </c>
      <c r="AD47" s="263">
        <v>14485</v>
      </c>
      <c r="AE47" s="15">
        <f t="shared" ref="AE47:AE54" si="53">IF(ISERROR(AD47/AC47),"",AD47/AC47)</f>
        <v>0.63190039080250837</v>
      </c>
      <c r="AF47" s="14">
        <f>IF(ISERROR($D47/12),"",$D47/12)</f>
        <v>22922.916666666668</v>
      </c>
      <c r="AG47" s="493">
        <v>13488</v>
      </c>
      <c r="AH47" s="15">
        <f t="shared" ref="AH47:AH54" si="54">IF(ISERROR(AG47/AF47),"",AG47/AF47)</f>
        <v>0.5884067981459602</v>
      </c>
      <c r="AI47" s="14">
        <f>IF(ISERROR($D47/12),"",$D47/12)</f>
        <v>22922.916666666668</v>
      </c>
      <c r="AJ47" s="261">
        <v>13577</v>
      </c>
      <c r="AK47" s="15">
        <f t="shared" ref="AK47:AK54" si="55">IF(ISERROR(AJ47/AI47),"",AJ47/AI47)</f>
        <v>0.59228937562482953</v>
      </c>
      <c r="AL47" s="14">
        <f>SUM(AC47,AF47,AI47)</f>
        <v>68768.75</v>
      </c>
      <c r="AM47" s="483">
        <f>SUM(AD47,AG47,AJ47)</f>
        <v>41550</v>
      </c>
      <c r="AN47" s="15">
        <f t="shared" ref="AN47:AN54" si="56">IF(ISERROR(AM47/AL47),"",AM47/AL47)</f>
        <v>0.60419885485776603</v>
      </c>
      <c r="AO47" s="14">
        <f>IF(ISERROR($D47/12),"",$D47/12)</f>
        <v>22922.916666666668</v>
      </c>
      <c r="AP47" s="263">
        <v>13842</v>
      </c>
      <c r="AQ47" s="15">
        <f t="shared" ref="AQ47:AQ54" si="57">IF(ISERROR(AP47/AO47),"",AP47/AO47)</f>
        <v>0.60384985912932831</v>
      </c>
      <c r="AR47" s="14">
        <f>IF(ISERROR($D47/12),"",$D47/12)</f>
        <v>22922.916666666668</v>
      </c>
      <c r="AS47" s="263">
        <v>13905</v>
      </c>
      <c r="AT47" s="15">
        <f t="shared" ref="AT47:AT54" si="58">IF(ISERROR(AS47/AR47),"",AS47/AR47)</f>
        <v>0.60659820049077517</v>
      </c>
      <c r="AU47" s="14">
        <f>IF(ISERROR($D47/12),"",$D47/12)</f>
        <v>22922.916666666668</v>
      </c>
      <c r="AV47" s="263">
        <v>12465</v>
      </c>
      <c r="AW47" s="15">
        <f t="shared" ref="AW47:AW54" si="59">IF(ISERROR(AV47/AU47),"",AV47/AU47)</f>
        <v>0.54377896937198944</v>
      </c>
      <c r="AX47" s="259">
        <f t="shared" ref="AX47:AY54" si="60">SUM(AO47,AR47,AU47)</f>
        <v>68768.75</v>
      </c>
      <c r="AY47" s="481">
        <f t="shared" si="60"/>
        <v>40212</v>
      </c>
      <c r="AZ47" s="15">
        <f t="shared" ref="AZ47:AZ54" si="61">IF(ISERROR(AY47/AX47),"",AY47/AX47)</f>
        <v>0.58474234299736438</v>
      </c>
      <c r="BA47" s="259">
        <f t="shared" ref="BA47:BA54" si="62">D47</f>
        <v>275075</v>
      </c>
      <c r="BB47" s="259">
        <v>147924</v>
      </c>
      <c r="BC47" s="348">
        <f t="shared" ref="BC47:BC54" si="63">IF(ISERROR(BB47/BA47),"",BB47/BA47)</f>
        <v>0.53775879305643914</v>
      </c>
    </row>
    <row r="48" spans="1:55" ht="29.25" customHeight="1" x14ac:dyDescent="0.2">
      <c r="A48" s="1228"/>
      <c r="B48" s="248" t="s">
        <v>390</v>
      </c>
      <c r="C48" s="27" t="s">
        <v>389</v>
      </c>
      <c r="D48" s="479">
        <f>SUM('18_Prog_Scios_Intermedios'!R9:R15)</f>
        <v>49253</v>
      </c>
      <c r="E48" s="14">
        <f t="shared" si="43"/>
        <v>4104.416666666667</v>
      </c>
      <c r="F48" s="261">
        <v>5107</v>
      </c>
      <c r="G48" s="35">
        <f t="shared" si="44"/>
        <v>1.2442693846060138</v>
      </c>
      <c r="H48" s="14">
        <f>IF(ISERROR($D48/12),"",$D48/12)</f>
        <v>4104.416666666667</v>
      </c>
      <c r="I48" s="263">
        <v>4636</v>
      </c>
      <c r="J48" s="35">
        <f t="shared" si="45"/>
        <v>1.1295149534038535</v>
      </c>
      <c r="K48" s="14">
        <f>IF(ISERROR($D48/12),"",$D48/12)</f>
        <v>4104.416666666667</v>
      </c>
      <c r="L48" s="263">
        <v>5260</v>
      </c>
      <c r="M48" s="35">
        <f t="shared" si="46"/>
        <v>1.2815463017481168</v>
      </c>
      <c r="N48" s="259">
        <f t="shared" si="47"/>
        <v>12313.25</v>
      </c>
      <c r="O48" s="483">
        <f t="shared" si="47"/>
        <v>15003</v>
      </c>
      <c r="P48" s="15">
        <f t="shared" si="48"/>
        <v>1.2184435465859949</v>
      </c>
      <c r="Q48" s="14">
        <f>IF(ISERROR($D48/12),"",$D48/12)</f>
        <v>4104.416666666667</v>
      </c>
      <c r="R48" s="263"/>
      <c r="S48" s="15">
        <f t="shared" si="49"/>
        <v>0</v>
      </c>
      <c r="T48" s="14">
        <f>IF(ISERROR($D48/12),"",$D48/12)</f>
        <v>4104.416666666667</v>
      </c>
      <c r="U48" s="261">
        <v>4642</v>
      </c>
      <c r="V48" s="15">
        <f t="shared" si="50"/>
        <v>1.1309767932917791</v>
      </c>
      <c r="W48" s="14">
        <f>IF(ISERROR($D48/12),"",$D48/12)</f>
        <v>4104.416666666667</v>
      </c>
      <c r="X48" s="263">
        <v>4262</v>
      </c>
      <c r="Y48" s="15">
        <f t="shared" si="51"/>
        <v>1.038393600389824</v>
      </c>
      <c r="Z48" s="259">
        <f>SUM(Q48,T48,W48)</f>
        <v>12313.25</v>
      </c>
      <c r="AA48" s="481">
        <f>SUM(R48,U48,X48)</f>
        <v>8904</v>
      </c>
      <c r="AB48" s="15">
        <f t="shared" si="52"/>
        <v>0.72312346456053433</v>
      </c>
      <c r="AC48" s="14">
        <f>IF(ISERROR($D48/12),"",$D48/12)</f>
        <v>4104.416666666667</v>
      </c>
      <c r="AD48" s="263">
        <v>5229</v>
      </c>
      <c r="AE48" s="15">
        <f t="shared" si="53"/>
        <v>1.2739934623271678</v>
      </c>
      <c r="AF48" s="14">
        <f>IF(ISERROR($D48/12),"",$D48/12)</f>
        <v>4104.416666666667</v>
      </c>
      <c r="AG48" s="493">
        <v>4764</v>
      </c>
      <c r="AH48" s="15">
        <f t="shared" si="54"/>
        <v>1.1607008710129332</v>
      </c>
      <c r="AI48" s="14">
        <f>IF(ISERROR($D48/12),"",$D48/12)</f>
        <v>4104.416666666667</v>
      </c>
      <c r="AJ48" s="261">
        <v>5429</v>
      </c>
      <c r="AK48" s="15">
        <f t="shared" si="55"/>
        <v>1.3227214585913547</v>
      </c>
      <c r="AL48" s="14">
        <f>SUM(AC48,AF48,AI48)</f>
        <v>12313.25</v>
      </c>
      <c r="AM48" s="483">
        <f>SUM(AD48,AG48,AJ48)</f>
        <v>15422</v>
      </c>
      <c r="AN48" s="15">
        <f t="shared" si="56"/>
        <v>1.2524719306438186</v>
      </c>
      <c r="AO48" s="14">
        <f>IF(ISERROR($D48/12),"",$D48/12)</f>
        <v>4104.416666666667</v>
      </c>
      <c r="AP48" s="263">
        <v>5009</v>
      </c>
      <c r="AQ48" s="15">
        <f t="shared" si="57"/>
        <v>1.2203926664365621</v>
      </c>
      <c r="AR48" s="14">
        <f>IF(ISERROR($D48/12),"",$D48/12)</f>
        <v>4104.416666666667</v>
      </c>
      <c r="AS48" s="263">
        <v>5284</v>
      </c>
      <c r="AT48" s="15">
        <f t="shared" si="58"/>
        <v>1.2873936612998191</v>
      </c>
      <c r="AU48" s="14">
        <f>IF(ISERROR($D48/12),"",$D48/12)</f>
        <v>4104.416666666667</v>
      </c>
      <c r="AV48" s="263">
        <v>3896</v>
      </c>
      <c r="AW48" s="15">
        <f t="shared" si="59"/>
        <v>0.94922136722636175</v>
      </c>
      <c r="AX48" s="259">
        <f t="shared" si="60"/>
        <v>12313.25</v>
      </c>
      <c r="AY48" s="481">
        <f t="shared" si="60"/>
        <v>14189</v>
      </c>
      <c r="AZ48" s="15">
        <f t="shared" si="61"/>
        <v>1.1523358983209144</v>
      </c>
      <c r="BA48" s="259">
        <f t="shared" si="62"/>
        <v>49253</v>
      </c>
      <c r="BB48" s="259">
        <v>53518</v>
      </c>
      <c r="BC48" s="348">
        <f t="shared" si="63"/>
        <v>1.0865937100278156</v>
      </c>
    </row>
    <row r="49" spans="1:58" ht="24.75" customHeight="1" x14ac:dyDescent="0.2">
      <c r="A49" s="1228"/>
      <c r="B49" s="249" t="s">
        <v>391</v>
      </c>
      <c r="C49" s="13" t="s">
        <v>389</v>
      </c>
      <c r="D49" s="16">
        <f>SUM(D47:D48)</f>
        <v>324328</v>
      </c>
      <c r="E49" s="17">
        <f>SUM(E47:E48)</f>
        <v>27027.333333333336</v>
      </c>
      <c r="F49" s="17">
        <f>SUM(F47:F48)</f>
        <v>18545</v>
      </c>
      <c r="G49" s="36">
        <f t="shared" si="44"/>
        <v>0.68615722355146636</v>
      </c>
      <c r="H49" s="17">
        <f>SUM(H47:H48)</f>
        <v>27027.333333333336</v>
      </c>
      <c r="I49" s="17">
        <f>SUM(I47:I48)</f>
        <v>17156</v>
      </c>
      <c r="J49" s="36">
        <f t="shared" si="45"/>
        <v>0.63476480599886531</v>
      </c>
      <c r="K49" s="17">
        <f>SUM(K47:K48)</f>
        <v>27027.333333333336</v>
      </c>
      <c r="L49" s="17">
        <f>SUM(L47:L48)</f>
        <v>18927</v>
      </c>
      <c r="M49" s="36">
        <f t="shared" si="46"/>
        <v>0.70029106336794844</v>
      </c>
      <c r="N49" s="17">
        <f>SUM(N47:N48)</f>
        <v>81082</v>
      </c>
      <c r="O49" s="17">
        <f>SUM(O47:O48)</f>
        <v>54628</v>
      </c>
      <c r="P49" s="18">
        <f t="shared" si="48"/>
        <v>0.6737376976394267</v>
      </c>
      <c r="Q49" s="17">
        <f>SUM(Q47:Q48)</f>
        <v>27027.333333333336</v>
      </c>
      <c r="R49" s="17">
        <f>SUM(R47:R48)</f>
        <v>0</v>
      </c>
      <c r="S49" s="18">
        <f t="shared" si="49"/>
        <v>0</v>
      </c>
      <c r="T49" s="17">
        <f>SUM(T47:T48)</f>
        <v>27027.333333333336</v>
      </c>
      <c r="U49" s="17">
        <f>SUM(U47:U48)</f>
        <v>17706</v>
      </c>
      <c r="V49" s="18">
        <f t="shared" si="50"/>
        <v>0.65511457536814577</v>
      </c>
      <c r="W49" s="17">
        <f>SUM(W47:W48)</f>
        <v>27027.333333333336</v>
      </c>
      <c r="X49" s="17">
        <f>SUM(X47:X48)</f>
        <v>17735</v>
      </c>
      <c r="Y49" s="18">
        <f t="shared" si="51"/>
        <v>0.65618756320761695</v>
      </c>
      <c r="Z49" s="17">
        <f>SUM(Z47:Z48)</f>
        <v>81082</v>
      </c>
      <c r="AA49" s="17">
        <f>SUM(AA47:AA48)</f>
        <v>35441</v>
      </c>
      <c r="AB49" s="18">
        <f t="shared" si="52"/>
        <v>0.43710071285858759</v>
      </c>
      <c r="AC49" s="17">
        <f>SUM(AC47:AC48)</f>
        <v>27027.333333333336</v>
      </c>
      <c r="AD49" s="17">
        <f>SUM(AD47:AD48)</f>
        <v>19714</v>
      </c>
      <c r="AE49" s="18">
        <f t="shared" si="53"/>
        <v>0.72940973335635528</v>
      </c>
      <c r="AF49" s="17">
        <f>SUM(AF47:AF48)</f>
        <v>27027.333333333336</v>
      </c>
      <c r="AG49" s="17">
        <f>SUM(AG47:AG48)</f>
        <v>18252</v>
      </c>
      <c r="AH49" s="18">
        <f t="shared" si="54"/>
        <v>0.67531634641474059</v>
      </c>
      <c r="AI49" s="17">
        <f>SUM(AI47:AI48)</f>
        <v>27027.333333333336</v>
      </c>
      <c r="AJ49" s="17">
        <f>SUM(AJ47:AJ48)</f>
        <v>19006</v>
      </c>
      <c r="AK49" s="18">
        <f t="shared" si="55"/>
        <v>0.7032140302409905</v>
      </c>
      <c r="AL49" s="17">
        <f>SUM(AL47:AL48)</f>
        <v>81082</v>
      </c>
      <c r="AM49" s="17">
        <f>SUM(AM47:AM48)</f>
        <v>56972</v>
      </c>
      <c r="AN49" s="18">
        <f t="shared" si="56"/>
        <v>0.70264670333736212</v>
      </c>
      <c r="AO49" s="17">
        <f>SUM(AO47:AO48)</f>
        <v>27027.333333333336</v>
      </c>
      <c r="AP49" s="17">
        <f>SUM(AP47:AP48)</f>
        <v>18851</v>
      </c>
      <c r="AQ49" s="18">
        <f t="shared" si="57"/>
        <v>0.69747909523692053</v>
      </c>
      <c r="AR49" s="17">
        <f>SUM(AR47:AR48)</f>
        <v>27027.333333333336</v>
      </c>
      <c r="AS49" s="17">
        <f>SUM(AS47:AS48)</f>
        <v>19189</v>
      </c>
      <c r="AT49" s="18">
        <f t="shared" si="58"/>
        <v>0.70998495350386026</v>
      </c>
      <c r="AU49" s="17">
        <f>SUM(AU47:AU48)</f>
        <v>27027.333333333336</v>
      </c>
      <c r="AV49" s="17">
        <f>SUM(AV47:AV48)</f>
        <v>16361</v>
      </c>
      <c r="AW49" s="18">
        <f t="shared" si="59"/>
        <v>0.60535013936508719</v>
      </c>
      <c r="AX49" s="17">
        <f>SUM(AX47:AX48)</f>
        <v>81082</v>
      </c>
      <c r="AY49" s="17">
        <f>SUM(AY47:AY48)</f>
        <v>54401</v>
      </c>
      <c r="AZ49" s="18">
        <f t="shared" si="61"/>
        <v>0.670938062701956</v>
      </c>
      <c r="BA49" s="17">
        <f>SUM(BA47:BA48)</f>
        <v>324328</v>
      </c>
      <c r="BB49" s="17">
        <f>SUM(BB47:BB48)</f>
        <v>201442</v>
      </c>
      <c r="BC49" s="346">
        <f t="shared" si="63"/>
        <v>0.62110579413433309</v>
      </c>
    </row>
    <row r="50" spans="1:58" ht="24.75" customHeight="1" x14ac:dyDescent="0.2">
      <c r="A50" s="1228" t="s">
        <v>392</v>
      </c>
      <c r="B50" s="248" t="s">
        <v>393</v>
      </c>
      <c r="C50" s="31" t="s">
        <v>394</v>
      </c>
      <c r="D50" s="479">
        <f>'19_Prog_Scios_Grales'!F17</f>
        <v>44211</v>
      </c>
      <c r="E50" s="14">
        <f t="shared" si="43"/>
        <v>3684.25</v>
      </c>
      <c r="F50" s="261">
        <v>3463</v>
      </c>
      <c r="G50" s="35">
        <f t="shared" si="44"/>
        <v>0.93994707199565719</v>
      </c>
      <c r="H50" s="14">
        <f>IF(ISERROR($D50/12),"",$D50/12)</f>
        <v>3684.25</v>
      </c>
      <c r="I50" s="263">
        <v>3618</v>
      </c>
      <c r="J50" s="35">
        <f t="shared" si="45"/>
        <v>0.98201804980660923</v>
      </c>
      <c r="K50" s="14">
        <f>IF(ISERROR($D50/12),"",$D50/12)</f>
        <v>3684.25</v>
      </c>
      <c r="L50" s="263">
        <v>6788</v>
      </c>
      <c r="M50" s="35">
        <f t="shared" si="46"/>
        <v>1.8424374024564023</v>
      </c>
      <c r="N50" s="259">
        <f t="shared" si="47"/>
        <v>11052.75</v>
      </c>
      <c r="O50" s="483">
        <f t="shared" si="47"/>
        <v>13869</v>
      </c>
      <c r="P50" s="15">
        <f t="shared" si="48"/>
        <v>1.2548008414195562</v>
      </c>
      <c r="Q50" s="14">
        <f>IF(ISERROR($D50/12),"",$D50/12)</f>
        <v>3684.25</v>
      </c>
      <c r="R50" s="263">
        <v>5159</v>
      </c>
      <c r="S50" s="15">
        <f t="shared" si="49"/>
        <v>1.4002849969464612</v>
      </c>
      <c r="T50" s="14">
        <f>IF(ISERROR($D50/12),"",$D50/12)</f>
        <v>3684.25</v>
      </c>
      <c r="U50" s="261"/>
      <c r="V50" s="15">
        <f t="shared" si="50"/>
        <v>0</v>
      </c>
      <c r="W50" s="14">
        <f>IF(ISERROR($D50/12),"",$D50/12)</f>
        <v>3684.25</v>
      </c>
      <c r="X50" s="263">
        <v>5429</v>
      </c>
      <c r="Y50" s="15">
        <f t="shared" si="51"/>
        <v>1.4735699260365067</v>
      </c>
      <c r="Z50" s="259">
        <f t="shared" ref="Z50:AA54" si="64">SUM(Q50,T50,W50)</f>
        <v>11052.75</v>
      </c>
      <c r="AA50" s="481">
        <f t="shared" si="64"/>
        <v>10588</v>
      </c>
      <c r="AB50" s="15">
        <f t="shared" si="52"/>
        <v>0.95795164099432273</v>
      </c>
      <c r="AC50" s="14">
        <f>IF(ISERROR($D50/12),"",$D50/12)</f>
        <v>3684.25</v>
      </c>
      <c r="AD50" s="263"/>
      <c r="AE50" s="15">
        <f t="shared" si="53"/>
        <v>0</v>
      </c>
      <c r="AF50" s="14">
        <f>IF(ISERROR($D50/12),"",$D50/12)</f>
        <v>3684.25</v>
      </c>
      <c r="AG50" s="493"/>
      <c r="AH50" s="15">
        <f t="shared" si="54"/>
        <v>0</v>
      </c>
      <c r="AI50" s="14">
        <f>IF(ISERROR($D50/12),"",$D50/12)</f>
        <v>3684.25</v>
      </c>
      <c r="AJ50" s="261">
        <v>5846</v>
      </c>
      <c r="AK50" s="15">
        <f t="shared" si="55"/>
        <v>1.5867544276311325</v>
      </c>
      <c r="AL50" s="14">
        <f t="shared" ref="AL50:AM54" si="65">SUM(AC50,AF50,AI50)</f>
        <v>11052.75</v>
      </c>
      <c r="AM50" s="483">
        <f t="shared" si="65"/>
        <v>5846</v>
      </c>
      <c r="AN50" s="15">
        <f t="shared" si="56"/>
        <v>0.52891814254371083</v>
      </c>
      <c r="AO50" s="14">
        <f>IF(ISERROR($D50/12),"",$D50/12)</f>
        <v>3684.25</v>
      </c>
      <c r="AP50" s="263">
        <v>5313</v>
      </c>
      <c r="AQ50" s="15">
        <f t="shared" si="57"/>
        <v>1.4420845490941168</v>
      </c>
      <c r="AR50" s="14">
        <f>IF(ISERROR($D50/12),"",$D50/12)</f>
        <v>3684.25</v>
      </c>
      <c r="AS50" s="263"/>
      <c r="AT50" s="15">
        <f t="shared" si="58"/>
        <v>0</v>
      </c>
      <c r="AU50" s="14">
        <f>IF(ISERROR($D50/12),"",$D50/12)</f>
        <v>3684.25</v>
      </c>
      <c r="AV50" s="493"/>
      <c r="AW50" s="15">
        <f t="shared" si="59"/>
        <v>0</v>
      </c>
      <c r="AX50" s="259">
        <f>SUM(AO50,AR50,AU50)</f>
        <v>11052.75</v>
      </c>
      <c r="AY50" s="481">
        <f t="shared" si="60"/>
        <v>5313</v>
      </c>
      <c r="AZ50" s="15">
        <f t="shared" si="61"/>
        <v>0.48069484969803894</v>
      </c>
      <c r="BA50" s="259">
        <f t="shared" si="62"/>
        <v>44211</v>
      </c>
      <c r="BB50" s="259">
        <v>35616</v>
      </c>
      <c r="BC50" s="348">
        <f t="shared" si="63"/>
        <v>0.80559136866390713</v>
      </c>
    </row>
    <row r="51" spans="1:58" ht="24.75" customHeight="1" x14ac:dyDescent="0.2">
      <c r="A51" s="1228"/>
      <c r="B51" s="248" t="s">
        <v>395</v>
      </c>
      <c r="C51" s="31" t="s">
        <v>87</v>
      </c>
      <c r="D51" s="479">
        <f>'19_Prog_Scios_Grales'!I17</f>
        <v>67429</v>
      </c>
      <c r="E51" s="14">
        <f t="shared" si="43"/>
        <v>5619.083333333333</v>
      </c>
      <c r="F51" s="261">
        <v>11016</v>
      </c>
      <c r="G51" s="35">
        <f t="shared" si="44"/>
        <v>1.9604621157068918</v>
      </c>
      <c r="H51" s="14">
        <f>IF(ISERROR($D51/12),"",$D51/12)</f>
        <v>5619.083333333333</v>
      </c>
      <c r="I51" s="263">
        <v>10178</v>
      </c>
      <c r="J51" s="35">
        <f t="shared" si="45"/>
        <v>1.8113274703762476</v>
      </c>
      <c r="K51" s="14">
        <f>IF(ISERROR($D51/12),"",$D51/12)</f>
        <v>5619.083333333333</v>
      </c>
      <c r="L51" s="263">
        <v>11201</v>
      </c>
      <c r="M51" s="35">
        <f t="shared" si="46"/>
        <v>1.993385635260793</v>
      </c>
      <c r="N51" s="259">
        <f t="shared" si="47"/>
        <v>16857.25</v>
      </c>
      <c r="O51" s="483">
        <f t="shared" si="47"/>
        <v>32395</v>
      </c>
      <c r="P51" s="15">
        <f t="shared" si="48"/>
        <v>1.9217250737813107</v>
      </c>
      <c r="Q51" s="14">
        <f>IF(ISERROR($D51/12),"",$D51/12)</f>
        <v>5619.083333333333</v>
      </c>
      <c r="R51" s="263">
        <v>9450</v>
      </c>
      <c r="S51" s="15">
        <f t="shared" si="49"/>
        <v>1.6817689718073827</v>
      </c>
      <c r="T51" s="14">
        <f>IF(ISERROR($D51/12),"",$D51/12)</f>
        <v>5619.083333333333</v>
      </c>
      <c r="U51" s="261">
        <v>9784</v>
      </c>
      <c r="V51" s="15">
        <f t="shared" si="50"/>
        <v>1.7412092719749663</v>
      </c>
      <c r="W51" s="14">
        <f>IF(ISERROR($D51/12),"",$D51/12)</f>
        <v>5619.083333333333</v>
      </c>
      <c r="X51" s="263">
        <v>10485</v>
      </c>
      <c r="Y51" s="15">
        <f t="shared" si="51"/>
        <v>1.8659627163386674</v>
      </c>
      <c r="Z51" s="259">
        <f t="shared" si="64"/>
        <v>16857.25</v>
      </c>
      <c r="AA51" s="481">
        <f t="shared" si="64"/>
        <v>29719</v>
      </c>
      <c r="AB51" s="15">
        <f t="shared" si="52"/>
        <v>1.7629803200403387</v>
      </c>
      <c r="AC51" s="14">
        <f>IF(ISERROR($D51/12),"",$D51/12)</f>
        <v>5619.083333333333</v>
      </c>
      <c r="AD51" s="263"/>
      <c r="AE51" s="15">
        <f t="shared" si="53"/>
        <v>0</v>
      </c>
      <c r="AF51" s="14">
        <f>IF(ISERROR($D51/12),"",$D51/12)</f>
        <v>5619.083333333333</v>
      </c>
      <c r="AG51" s="493"/>
      <c r="AH51" s="15">
        <f t="shared" si="54"/>
        <v>0</v>
      </c>
      <c r="AI51" s="14">
        <f>IF(ISERROR($D51/12),"",$D51/12)</f>
        <v>5619.083333333333</v>
      </c>
      <c r="AJ51" s="261">
        <v>10798</v>
      </c>
      <c r="AK51" s="15">
        <f t="shared" si="55"/>
        <v>1.9216657521244569</v>
      </c>
      <c r="AL51" s="14">
        <f t="shared" si="65"/>
        <v>16857.25</v>
      </c>
      <c r="AM51" s="483">
        <f t="shared" si="65"/>
        <v>10798</v>
      </c>
      <c r="AN51" s="15">
        <f t="shared" si="56"/>
        <v>0.64055525070815222</v>
      </c>
      <c r="AO51" s="14">
        <f>IF(ISERROR($D51/12),"",$D51/12)</f>
        <v>5619.083333333333</v>
      </c>
      <c r="AP51" s="263">
        <v>10008</v>
      </c>
      <c r="AQ51" s="15">
        <f t="shared" si="57"/>
        <v>1.781073425380771</v>
      </c>
      <c r="AR51" s="14">
        <f>IF(ISERROR($D51/12),"",$D51/12)</f>
        <v>5619.083333333333</v>
      </c>
      <c r="AS51" s="263"/>
      <c r="AT51" s="15">
        <f t="shared" si="58"/>
        <v>0</v>
      </c>
      <c r="AU51" s="14">
        <f>IF(ISERROR($D51/12),"",$D51/12)</f>
        <v>5619.083333333333</v>
      </c>
      <c r="AV51" s="493"/>
      <c r="AW51" s="15">
        <f t="shared" si="59"/>
        <v>0</v>
      </c>
      <c r="AX51" s="259">
        <f>SUM(AO51,AR51,AU51)</f>
        <v>16857.25</v>
      </c>
      <c r="AY51" s="481">
        <f t="shared" si="60"/>
        <v>10008</v>
      </c>
      <c r="AZ51" s="15">
        <f t="shared" si="61"/>
        <v>0.59369114179359028</v>
      </c>
      <c r="BA51" s="259">
        <f t="shared" si="62"/>
        <v>67429</v>
      </c>
      <c r="BB51" s="259">
        <v>88615</v>
      </c>
      <c r="BC51" s="348">
        <f t="shared" si="63"/>
        <v>1.3141971555265539</v>
      </c>
    </row>
    <row r="52" spans="1:58" ht="24.75" customHeight="1" x14ac:dyDescent="0.2">
      <c r="A52" s="1228"/>
      <c r="B52" s="248" t="s">
        <v>578</v>
      </c>
      <c r="C52" s="31" t="s">
        <v>397</v>
      </c>
      <c r="D52" s="479">
        <f>'19_Prog_Scios_Grales'!L17</f>
        <v>9852</v>
      </c>
      <c r="E52" s="14">
        <f t="shared" si="43"/>
        <v>821</v>
      </c>
      <c r="F52" s="261">
        <v>66</v>
      </c>
      <c r="G52" s="35">
        <f t="shared" si="44"/>
        <v>8.0389768574908649E-2</v>
      </c>
      <c r="H52" s="14">
        <f>IF(ISERROR($D52/12),"",$D52/12)</f>
        <v>821</v>
      </c>
      <c r="I52" s="263">
        <v>78</v>
      </c>
      <c r="J52" s="35">
        <f t="shared" si="45"/>
        <v>9.5006090133982951E-2</v>
      </c>
      <c r="K52" s="14">
        <f>IF(ISERROR($D52/12),"",$D52/12)</f>
        <v>821</v>
      </c>
      <c r="L52" s="263">
        <v>86</v>
      </c>
      <c r="M52" s="35">
        <f t="shared" si="46"/>
        <v>0.10475030450669914</v>
      </c>
      <c r="N52" s="259">
        <f t="shared" si="47"/>
        <v>2463</v>
      </c>
      <c r="O52" s="483">
        <f t="shared" si="47"/>
        <v>230</v>
      </c>
      <c r="P52" s="15">
        <f t="shared" si="48"/>
        <v>9.338205440519691E-2</v>
      </c>
      <c r="Q52" s="14">
        <f>IF(ISERROR($D52/12),"",$D52/12)</f>
        <v>821</v>
      </c>
      <c r="R52" s="263">
        <v>38</v>
      </c>
      <c r="S52" s="15">
        <f t="shared" si="49"/>
        <v>4.6285018270401948E-2</v>
      </c>
      <c r="T52" s="14">
        <f>IF(ISERROR($D52/12),"",$D52/12)</f>
        <v>821</v>
      </c>
      <c r="U52" s="261">
        <v>66</v>
      </c>
      <c r="V52" s="15">
        <f t="shared" si="50"/>
        <v>8.0389768574908649E-2</v>
      </c>
      <c r="W52" s="14">
        <f>IF(ISERROR($D52/12),"",$D52/12)</f>
        <v>821</v>
      </c>
      <c r="X52" s="263"/>
      <c r="Y52" s="15">
        <f t="shared" si="51"/>
        <v>0</v>
      </c>
      <c r="Z52" s="259">
        <f t="shared" si="64"/>
        <v>2463</v>
      </c>
      <c r="AA52" s="481">
        <f t="shared" si="64"/>
        <v>104</v>
      </c>
      <c r="AB52" s="15">
        <f t="shared" si="52"/>
        <v>4.2224928948436866E-2</v>
      </c>
      <c r="AC52" s="14">
        <f>IF(ISERROR($D52/12),"",$D52/12)</f>
        <v>821</v>
      </c>
      <c r="AD52" s="263"/>
      <c r="AE52" s="15">
        <f t="shared" si="53"/>
        <v>0</v>
      </c>
      <c r="AF52" s="14">
        <f>IF(ISERROR($D52/12),"",$D52/12)</f>
        <v>821</v>
      </c>
      <c r="AG52" s="493"/>
      <c r="AH52" s="15">
        <f t="shared" si="54"/>
        <v>0</v>
      </c>
      <c r="AI52" s="14">
        <f>IF(ISERROR($D52/12),"",$D52/12)</f>
        <v>821</v>
      </c>
      <c r="AJ52" s="261"/>
      <c r="AK52" s="15">
        <f t="shared" si="55"/>
        <v>0</v>
      </c>
      <c r="AL52" s="14">
        <f t="shared" si="65"/>
        <v>2463</v>
      </c>
      <c r="AM52" s="483">
        <f t="shared" si="65"/>
        <v>0</v>
      </c>
      <c r="AN52" s="15">
        <f t="shared" si="56"/>
        <v>0</v>
      </c>
      <c r="AO52" s="14">
        <f>IF(ISERROR($D52/12),"",$D52/12)</f>
        <v>821</v>
      </c>
      <c r="AP52" s="263">
        <v>0</v>
      </c>
      <c r="AQ52" s="15">
        <f t="shared" si="57"/>
        <v>0</v>
      </c>
      <c r="AR52" s="14">
        <f>IF(ISERROR($D52/12),"",$D52/12)</f>
        <v>821</v>
      </c>
      <c r="AS52" s="263"/>
      <c r="AT52" s="15">
        <f t="shared" si="58"/>
        <v>0</v>
      </c>
      <c r="AU52" s="14">
        <f>IF(ISERROR($D52/12),"",$D52/12)</f>
        <v>821</v>
      </c>
      <c r="AV52" s="493"/>
      <c r="AW52" s="15">
        <f t="shared" si="59"/>
        <v>0</v>
      </c>
      <c r="AX52" s="259">
        <f>SUM(AO52,AR52,AU52)</f>
        <v>2463</v>
      </c>
      <c r="AY52" s="481">
        <f t="shared" si="60"/>
        <v>0</v>
      </c>
      <c r="AZ52" s="15">
        <f t="shared" si="61"/>
        <v>0</v>
      </c>
      <c r="BA52" s="259">
        <f t="shared" si="62"/>
        <v>9852</v>
      </c>
      <c r="BB52" s="259">
        <v>334</v>
      </c>
      <c r="BC52" s="348">
        <f t="shared" si="63"/>
        <v>3.3901745838408444E-2</v>
      </c>
    </row>
    <row r="53" spans="1:58" ht="24.75" customHeight="1" x14ac:dyDescent="0.2">
      <c r="A53" s="1228"/>
      <c r="B53" s="248" t="s">
        <v>396</v>
      </c>
      <c r="C53" s="31" t="s">
        <v>397</v>
      </c>
      <c r="D53" s="479">
        <f>'19_Prog_Scios_Grales'!O17</f>
        <v>11014</v>
      </c>
      <c r="E53" s="14">
        <f t="shared" si="43"/>
        <v>917.83333333333337</v>
      </c>
      <c r="F53" s="261">
        <v>0</v>
      </c>
      <c r="G53" s="35">
        <f t="shared" si="44"/>
        <v>0</v>
      </c>
      <c r="H53" s="14">
        <f>IF(ISERROR($D53/12),"",$D53/12)</f>
        <v>917.83333333333337</v>
      </c>
      <c r="I53" s="263">
        <v>0</v>
      </c>
      <c r="J53" s="35">
        <f t="shared" si="45"/>
        <v>0</v>
      </c>
      <c r="K53" s="14">
        <f>IF(ISERROR($D53/12),"",$D53/12)</f>
        <v>917.83333333333337</v>
      </c>
      <c r="L53" s="263"/>
      <c r="M53" s="35">
        <f t="shared" si="46"/>
        <v>0</v>
      </c>
      <c r="N53" s="259">
        <f t="shared" si="47"/>
        <v>2753.5</v>
      </c>
      <c r="O53" s="483">
        <f t="shared" si="47"/>
        <v>0</v>
      </c>
      <c r="P53" s="15">
        <f t="shared" si="48"/>
        <v>0</v>
      </c>
      <c r="Q53" s="14">
        <f>IF(ISERROR($D53/12),"",$D53/12)</f>
        <v>917.83333333333337</v>
      </c>
      <c r="R53" s="263">
        <v>0</v>
      </c>
      <c r="S53" s="15">
        <f t="shared" si="49"/>
        <v>0</v>
      </c>
      <c r="T53" s="14">
        <f>IF(ISERROR($D53/12),"",$D53/12)</f>
        <v>917.83333333333337</v>
      </c>
      <c r="U53" s="261">
        <v>0</v>
      </c>
      <c r="V53" s="15">
        <f t="shared" si="50"/>
        <v>0</v>
      </c>
      <c r="W53" s="14">
        <f>IF(ISERROR($D53/12),"",$D53/12)</f>
        <v>917.83333333333337</v>
      </c>
      <c r="X53" s="263">
        <v>65</v>
      </c>
      <c r="Y53" s="15">
        <f t="shared" si="51"/>
        <v>7.0818957690212458E-2</v>
      </c>
      <c r="Z53" s="259">
        <f t="shared" si="64"/>
        <v>2753.5</v>
      </c>
      <c r="AA53" s="481">
        <f t="shared" si="64"/>
        <v>65</v>
      </c>
      <c r="AB53" s="15">
        <f t="shared" si="52"/>
        <v>2.3606319230070821E-2</v>
      </c>
      <c r="AC53" s="14">
        <f>IF(ISERROR($D53/12),"",$D53/12)</f>
        <v>917.83333333333337</v>
      </c>
      <c r="AD53" s="263"/>
      <c r="AE53" s="15">
        <f t="shared" si="53"/>
        <v>0</v>
      </c>
      <c r="AF53" s="14">
        <f>IF(ISERROR($D53/12),"",$D53/12)</f>
        <v>917.83333333333337</v>
      </c>
      <c r="AG53" s="493">
        <v>11055</v>
      </c>
      <c r="AH53" s="15">
        <f t="shared" si="54"/>
        <v>12.044670419466133</v>
      </c>
      <c r="AI53" s="14">
        <f>IF(ISERROR($D53/12),"",$D53/12)</f>
        <v>917.83333333333337</v>
      </c>
      <c r="AJ53" s="261"/>
      <c r="AK53" s="15">
        <f t="shared" si="55"/>
        <v>0</v>
      </c>
      <c r="AL53" s="14">
        <f t="shared" si="65"/>
        <v>2753.5</v>
      </c>
      <c r="AM53" s="483">
        <f t="shared" si="65"/>
        <v>11055</v>
      </c>
      <c r="AN53" s="15">
        <f t="shared" si="56"/>
        <v>4.0148901398220449</v>
      </c>
      <c r="AO53" s="14">
        <f>IF(ISERROR($D53/12),"",$D53/12)</f>
        <v>917.83333333333337</v>
      </c>
      <c r="AP53" s="263">
        <v>0</v>
      </c>
      <c r="AQ53" s="15">
        <f t="shared" si="57"/>
        <v>0</v>
      </c>
      <c r="AR53" s="14">
        <f>IF(ISERROR($D53/12),"",$D53/12)</f>
        <v>917.83333333333337</v>
      </c>
      <c r="AS53" s="263"/>
      <c r="AT53" s="15">
        <f t="shared" si="58"/>
        <v>0</v>
      </c>
      <c r="AU53" s="14">
        <f>IF(ISERROR($D53/12),"",$D53/12)</f>
        <v>917.83333333333337</v>
      </c>
      <c r="AV53" s="493"/>
      <c r="AW53" s="15">
        <f t="shared" si="59"/>
        <v>0</v>
      </c>
      <c r="AX53" s="259">
        <f>SUM(AO53,AR53,AU53)</f>
        <v>2753.5</v>
      </c>
      <c r="AY53" s="481">
        <f t="shared" si="60"/>
        <v>0</v>
      </c>
      <c r="AZ53" s="15">
        <f t="shared" si="61"/>
        <v>0</v>
      </c>
      <c r="BA53" s="259">
        <f t="shared" si="62"/>
        <v>11014</v>
      </c>
      <c r="BB53" s="259">
        <v>0</v>
      </c>
      <c r="BC53" s="348">
        <f t="shared" si="63"/>
        <v>0</v>
      </c>
    </row>
    <row r="54" spans="1:58" ht="24.75" customHeight="1" x14ac:dyDescent="0.2">
      <c r="A54" s="1228"/>
      <c r="B54" s="248" t="s">
        <v>398</v>
      </c>
      <c r="C54" s="31" t="s">
        <v>399</v>
      </c>
      <c r="D54" s="479">
        <f>'19_Prog_Scios_Grales'!R17</f>
        <v>59144</v>
      </c>
      <c r="E54" s="14">
        <f t="shared" si="43"/>
        <v>4928.666666666667</v>
      </c>
      <c r="F54" s="261">
        <v>11936</v>
      </c>
      <c r="G54" s="35">
        <f t="shared" si="44"/>
        <v>2.4217503043419448</v>
      </c>
      <c r="H54" s="14">
        <f>IF(ISERROR($D54/12),"",$D54/12)</f>
        <v>4928.666666666667</v>
      </c>
      <c r="I54" s="263">
        <v>11584</v>
      </c>
      <c r="J54" s="35">
        <f t="shared" si="45"/>
        <v>2.3503313945624238</v>
      </c>
      <c r="K54" s="14">
        <f>IF(ISERROR($D54/12),"",$D54/12)</f>
        <v>4928.666666666667</v>
      </c>
      <c r="L54" s="263">
        <v>12328</v>
      </c>
      <c r="M54" s="35">
        <f t="shared" si="46"/>
        <v>2.5012849993236843</v>
      </c>
      <c r="N54" s="259">
        <f t="shared" si="47"/>
        <v>14786</v>
      </c>
      <c r="O54" s="483">
        <f t="shared" si="47"/>
        <v>35848</v>
      </c>
      <c r="P54" s="15">
        <f t="shared" si="48"/>
        <v>2.4244555660760176</v>
      </c>
      <c r="Q54" s="14">
        <f>IF(ISERROR($D54/12),"",$D54/12)</f>
        <v>4928.666666666667</v>
      </c>
      <c r="R54" s="263">
        <v>10054</v>
      </c>
      <c r="S54" s="15">
        <f t="shared" si="49"/>
        <v>2.039902610577573</v>
      </c>
      <c r="T54" s="14">
        <f>IF(ISERROR($D54/12),"",$D54/12)</f>
        <v>4928.666666666667</v>
      </c>
      <c r="U54" s="261">
        <v>11645</v>
      </c>
      <c r="V54" s="15">
        <f t="shared" si="50"/>
        <v>2.3627079669958069</v>
      </c>
      <c r="W54" s="14">
        <f>IF(ISERROR($D54/12),"",$D54/12)</f>
        <v>4928.666666666667</v>
      </c>
      <c r="X54" s="263">
        <v>12743</v>
      </c>
      <c r="Y54" s="15">
        <f t="shared" si="51"/>
        <v>2.5854862707966992</v>
      </c>
      <c r="Z54" s="259">
        <f t="shared" si="64"/>
        <v>14786</v>
      </c>
      <c r="AA54" s="481">
        <f t="shared" si="64"/>
        <v>34442</v>
      </c>
      <c r="AB54" s="15">
        <f t="shared" si="52"/>
        <v>2.32936561612336</v>
      </c>
      <c r="AC54" s="14">
        <f>IF(ISERROR($D54/12),"",$D54/12)</f>
        <v>4928.666666666667</v>
      </c>
      <c r="AD54" s="263">
        <v>13291</v>
      </c>
      <c r="AE54" s="15">
        <f t="shared" si="53"/>
        <v>2.6966725280670905</v>
      </c>
      <c r="AF54" s="14">
        <f>IF(ISERROR($D54/12),"",$D54/12)</f>
        <v>4928.666666666667</v>
      </c>
      <c r="AG54" s="493"/>
      <c r="AH54" s="15">
        <f t="shared" si="54"/>
        <v>0</v>
      </c>
      <c r="AI54" s="14">
        <f>IF(ISERROR($D54/12),"",$D54/12)</f>
        <v>4928.666666666667</v>
      </c>
      <c r="AJ54" s="261">
        <v>11298</v>
      </c>
      <c r="AK54" s="15">
        <f t="shared" si="55"/>
        <v>2.2923035303665626</v>
      </c>
      <c r="AL54" s="14">
        <f t="shared" si="65"/>
        <v>14786</v>
      </c>
      <c r="AM54" s="483">
        <f t="shared" si="65"/>
        <v>24589</v>
      </c>
      <c r="AN54" s="15">
        <f t="shared" si="56"/>
        <v>1.6629920194778844</v>
      </c>
      <c r="AO54" s="14">
        <f>IF(ISERROR($D54/12),"",$D54/12)</f>
        <v>4928.666666666667</v>
      </c>
      <c r="AP54" s="263"/>
      <c r="AQ54" s="15">
        <f t="shared" si="57"/>
        <v>0</v>
      </c>
      <c r="AR54" s="14">
        <f>IF(ISERROR($D54/12),"",$D54/12)</f>
        <v>4928.666666666667</v>
      </c>
      <c r="AS54" s="263">
        <v>11594</v>
      </c>
      <c r="AT54" s="15">
        <f t="shared" si="58"/>
        <v>2.3523603408629783</v>
      </c>
      <c r="AU54" s="14">
        <f>IF(ISERROR($D54/12),"",$D54/12)</f>
        <v>4928.666666666667</v>
      </c>
      <c r="AV54" s="493"/>
      <c r="AW54" s="15">
        <f t="shared" si="59"/>
        <v>0</v>
      </c>
      <c r="AX54" s="259">
        <f>SUM(AO54,AR54,AU54)</f>
        <v>14786</v>
      </c>
      <c r="AY54" s="481">
        <f t="shared" si="60"/>
        <v>11594</v>
      </c>
      <c r="AZ54" s="15">
        <f t="shared" si="61"/>
        <v>0.78412011362099288</v>
      </c>
      <c r="BA54" s="259">
        <f t="shared" si="62"/>
        <v>59144</v>
      </c>
      <c r="BB54" s="259">
        <v>106472</v>
      </c>
      <c r="BC54" s="348">
        <f t="shared" si="63"/>
        <v>1.8002164209387259</v>
      </c>
    </row>
    <row r="55" spans="1:58" ht="29.25" customHeight="1" x14ac:dyDescent="0.2">
      <c r="A55" s="1228" t="s">
        <v>400</v>
      </c>
      <c r="B55" s="251" t="s">
        <v>402</v>
      </c>
      <c r="C55" s="32"/>
      <c r="D55" s="12"/>
      <c r="E55" s="33"/>
      <c r="F55" s="12"/>
      <c r="G55" s="37"/>
      <c r="H55" s="33"/>
      <c r="I55" s="12"/>
      <c r="J55" s="37"/>
      <c r="K55" s="33"/>
      <c r="L55" s="12"/>
      <c r="M55" s="37"/>
      <c r="N55" s="33"/>
      <c r="O55" s="12"/>
      <c r="P55" s="20"/>
      <c r="Q55" s="14"/>
      <c r="R55" s="14"/>
      <c r="S55" s="20"/>
      <c r="T55" s="33"/>
      <c r="U55" s="12"/>
      <c r="V55" s="20"/>
      <c r="W55" s="33"/>
      <c r="X55" s="12"/>
      <c r="Y55" s="20"/>
      <c r="Z55" s="33"/>
      <c r="AA55" s="12"/>
      <c r="AB55" s="20"/>
      <c r="AC55" s="33"/>
      <c r="AD55" s="12"/>
      <c r="AE55" s="20"/>
      <c r="AF55" s="14"/>
      <c r="AG55" s="14"/>
      <c r="AH55" s="20"/>
      <c r="AI55" s="33"/>
      <c r="AJ55" s="12"/>
      <c r="AK55" s="20"/>
      <c r="AL55" s="33"/>
      <c r="AM55" s="12"/>
      <c r="AN55" s="20"/>
      <c r="AO55" s="33"/>
      <c r="AP55" s="12"/>
      <c r="AQ55" s="20"/>
      <c r="AR55" s="33"/>
      <c r="AS55" s="12"/>
      <c r="AT55" s="20"/>
      <c r="AU55" s="14"/>
      <c r="AV55" s="14"/>
      <c r="AW55" s="20"/>
      <c r="AX55" s="33"/>
      <c r="AY55" s="12"/>
      <c r="AZ55" s="20"/>
      <c r="BA55" s="33"/>
      <c r="BB55" s="12"/>
      <c r="BC55" s="347"/>
    </row>
    <row r="56" spans="1:58" ht="50.25" customHeight="1" x14ac:dyDescent="0.2">
      <c r="A56" s="1229"/>
      <c r="B56" s="252" t="s">
        <v>579</v>
      </c>
      <c r="C56" s="31" t="s">
        <v>401</v>
      </c>
      <c r="D56" s="484">
        <f>'20_Prog_Gestion_Scios'!D15</f>
        <v>0.9</v>
      </c>
      <c r="E56" s="253"/>
      <c r="F56" s="253">
        <v>0.7</v>
      </c>
      <c r="G56" s="37"/>
      <c r="H56" s="253"/>
      <c r="I56" s="253"/>
      <c r="J56" s="37"/>
      <c r="K56" s="253"/>
      <c r="L56" s="253"/>
      <c r="M56" s="37"/>
      <c r="N56" s="253">
        <f>$D$56</f>
        <v>0.9</v>
      </c>
      <c r="O56" s="485">
        <v>0.9</v>
      </c>
      <c r="P56" s="15">
        <f>IF(ISERROR(O56-N56),"",O56-N56)</f>
        <v>0</v>
      </c>
      <c r="Q56" s="253"/>
      <c r="R56" s="37"/>
      <c r="S56" s="20"/>
      <c r="T56" s="253"/>
      <c r="U56" s="253"/>
      <c r="V56" s="20"/>
      <c r="W56" s="253"/>
      <c r="X56" s="253"/>
      <c r="Y56" s="20"/>
      <c r="Z56" s="253">
        <f>$D$56</f>
        <v>0.9</v>
      </c>
      <c r="AA56" s="485"/>
      <c r="AB56" s="15">
        <f>IF(ISERROR(AA56-Z56),"",AA56-Z56)</f>
        <v>-0.9</v>
      </c>
      <c r="AC56" s="253"/>
      <c r="AD56" s="253"/>
      <c r="AE56" s="20"/>
      <c r="AF56" s="253"/>
      <c r="AG56" s="37"/>
      <c r="AH56" s="20"/>
      <c r="AI56" s="253"/>
      <c r="AJ56" s="253"/>
      <c r="AK56" s="20"/>
      <c r="AL56" s="253">
        <f>$D$56</f>
        <v>0.9</v>
      </c>
      <c r="AM56" s="485"/>
      <c r="AN56" s="15">
        <f>IF(ISERROR(AM56-AL56),"",AM56-AL56)</f>
        <v>-0.9</v>
      </c>
      <c r="AO56" s="253"/>
      <c r="AP56" s="253"/>
      <c r="AQ56" s="20"/>
      <c r="AR56" s="253"/>
      <c r="AS56" s="253"/>
      <c r="AT56" s="20"/>
      <c r="AU56" s="253"/>
      <c r="AV56" s="37"/>
      <c r="AW56" s="20"/>
      <c r="AX56" s="253">
        <f>$D$56</f>
        <v>0.9</v>
      </c>
      <c r="AY56" s="486"/>
      <c r="AZ56" s="15">
        <f>IF(ISERROR(AY56-AX56),"",AY56-AX56)</f>
        <v>-0.9</v>
      </c>
      <c r="BA56" s="294">
        <f>$D$56</f>
        <v>0.9</v>
      </c>
      <c r="BB56" s="485">
        <f>AVERAGE(O56,AA56,AM56,AY56)/100</f>
        <v>9.0000000000000011E-3</v>
      </c>
      <c r="BC56" s="348">
        <f>IF(ISERROR(BB56-BA56),"",BB56-BA56)</f>
        <v>-0.89100000000000001</v>
      </c>
      <c r="BF56" s="295"/>
    </row>
    <row r="57" spans="1:58" ht="38.25" customHeight="1" x14ac:dyDescent="0.2">
      <c r="A57" s="1229"/>
      <c r="B57" s="251" t="s">
        <v>403</v>
      </c>
      <c r="C57" s="32"/>
      <c r="D57" s="12"/>
      <c r="E57" s="33"/>
      <c r="F57" s="12"/>
      <c r="G57" s="37"/>
      <c r="H57" s="33"/>
      <c r="I57" s="12"/>
      <c r="J57" s="37"/>
      <c r="K57" s="33"/>
      <c r="L57" s="12"/>
      <c r="M57" s="37"/>
      <c r="N57" s="33"/>
      <c r="O57" s="12"/>
      <c r="P57" s="20"/>
      <c r="Q57" s="14"/>
      <c r="R57" s="14"/>
      <c r="S57" s="20"/>
      <c r="T57" s="33"/>
      <c r="U57" s="12"/>
      <c r="V57" s="20"/>
      <c r="W57" s="33"/>
      <c r="X57" s="12"/>
      <c r="Y57" s="20"/>
      <c r="Z57" s="33"/>
      <c r="AA57" s="12"/>
      <c r="AB57" s="20"/>
      <c r="AC57" s="33"/>
      <c r="AD57" s="12"/>
      <c r="AE57" s="20"/>
      <c r="AF57" s="14"/>
      <c r="AG57" s="14"/>
      <c r="AH57" s="20"/>
      <c r="AI57" s="33"/>
      <c r="AJ57" s="12"/>
      <c r="AK57" s="20"/>
      <c r="AL57" s="33"/>
      <c r="AM57" s="12"/>
      <c r="AN57" s="20"/>
      <c r="AO57" s="33"/>
      <c r="AP57" s="12"/>
      <c r="AQ57" s="20"/>
      <c r="AR57" s="33"/>
      <c r="AS57" s="12"/>
      <c r="AT57" s="20"/>
      <c r="AU57" s="14"/>
      <c r="AV57" s="14"/>
      <c r="AW57" s="20"/>
      <c r="AX57" s="33"/>
      <c r="AY57" s="12"/>
      <c r="AZ57" s="20"/>
      <c r="BA57" s="33"/>
      <c r="BB57" s="12"/>
      <c r="BC57" s="347"/>
      <c r="BF57" s="296"/>
    </row>
    <row r="58" spans="1:58" ht="24.75" customHeight="1" x14ac:dyDescent="0.2">
      <c r="A58" s="1229"/>
      <c r="B58" s="254" t="s">
        <v>176</v>
      </c>
      <c r="C58" s="31" t="s">
        <v>629</v>
      </c>
      <c r="D58" s="256">
        <f>'11_Inform_Gral_Presupuesto'!Z4</f>
        <v>1594070</v>
      </c>
      <c r="E58" s="255"/>
      <c r="F58" s="493">
        <v>126276.65</v>
      </c>
      <c r="G58" s="245" t="str">
        <f>IF(ISERROR(F58/E58),"",F58/E58)</f>
        <v/>
      </c>
      <c r="H58" s="255"/>
      <c r="I58" s="493">
        <v>127126.81</v>
      </c>
      <c r="J58" s="245" t="str">
        <f>IF(ISERROR(I58/H58),"",I58/H58)</f>
        <v/>
      </c>
      <c r="K58" s="255"/>
      <c r="L58" s="493">
        <v>127364.52</v>
      </c>
      <c r="M58" s="245" t="str">
        <f>IF(ISERROR(L58/K58),"",L58/K58)</f>
        <v/>
      </c>
      <c r="N58" s="258">
        <f>E58+H58+K58</f>
        <v>0</v>
      </c>
      <c r="O58" s="258">
        <f>F58+I58+L58</f>
        <v>380767.98</v>
      </c>
      <c r="P58" s="245" t="str">
        <f>IF(ISERROR(O58/N58),"",O58/N58)</f>
        <v/>
      </c>
      <c r="Q58" s="255"/>
      <c r="R58" s="493">
        <v>127361.41</v>
      </c>
      <c r="S58" s="245" t="str">
        <f>IF(ISERROR(R58/Q58),"",R58/Q58)</f>
        <v/>
      </c>
      <c r="T58" s="255"/>
      <c r="U58" s="493">
        <v>126709.54</v>
      </c>
      <c r="V58" s="245" t="str">
        <f>IF(ISERROR(U58/T58),"",U58/T58)</f>
        <v/>
      </c>
      <c r="W58" s="255"/>
      <c r="X58" s="493">
        <v>126737.60000000001</v>
      </c>
      <c r="Y58" s="245" t="str">
        <f>IF(ISERROR(X58/W58),"",X58/W58)</f>
        <v/>
      </c>
      <c r="Z58" s="258">
        <f>Q58+T58+W58</f>
        <v>0</v>
      </c>
      <c r="AA58" s="258">
        <f>R58+U58+X58</f>
        <v>380808.55000000005</v>
      </c>
      <c r="AB58" s="245" t="str">
        <f>IF(ISERROR(AA58/Z58),"",AA58/Z58)</f>
        <v/>
      </c>
      <c r="AC58" s="255"/>
      <c r="AD58" s="493"/>
      <c r="AE58" s="245" t="str">
        <f>IF(ISERROR(AD58/AC58),"",AD58/AC58)</f>
        <v/>
      </c>
      <c r="AF58" s="255"/>
      <c r="AG58" s="493"/>
      <c r="AH58" s="245" t="str">
        <f>IF(ISERROR(AG58/AF58),"",AG58/AF58)</f>
        <v/>
      </c>
      <c r="AI58" s="255"/>
      <c r="AJ58" s="493"/>
      <c r="AK58" s="245" t="str">
        <f>IF(ISERROR(AJ58/AI58),"",AJ58/AI58)</f>
        <v/>
      </c>
      <c r="AL58" s="258">
        <f>AC58+AF58+AI58</f>
        <v>0</v>
      </c>
      <c r="AM58" s="258">
        <f>AD58+AG58+AJ58</f>
        <v>0</v>
      </c>
      <c r="AN58" s="245" t="str">
        <f>IF(ISERROR(AM58/AL58),"",AM58/AL58)</f>
        <v/>
      </c>
      <c r="AO58" s="255"/>
      <c r="AP58" s="493"/>
      <c r="AQ58" s="245" t="str">
        <f>IF(ISERROR(AP58/AO58),"",AP58/AO58)</f>
        <v/>
      </c>
      <c r="AR58" s="255"/>
      <c r="AS58" s="493"/>
      <c r="AT58" s="245" t="str">
        <f>IF(ISERROR(AS58/AR58),"",AS58/AR58)</f>
        <v/>
      </c>
      <c r="AU58" s="255"/>
      <c r="AV58" s="493"/>
      <c r="AW58" s="245" t="str">
        <f>IF(ISERROR(AV58/AU58),"",AV58/AU58)</f>
        <v/>
      </c>
      <c r="AX58" s="258">
        <f>AO58+AR58+AU58</f>
        <v>0</v>
      </c>
      <c r="AY58" s="258">
        <f>AP58+AS58+AV58</f>
        <v>0</v>
      </c>
      <c r="AZ58" s="245" t="str">
        <f>IF(ISERROR(AY58/AX58),"",AY58/AX58)</f>
        <v/>
      </c>
      <c r="BA58" s="257">
        <f>D58</f>
        <v>1594070</v>
      </c>
      <c r="BB58" s="258">
        <f>O58+AA58+AM58+AY58</f>
        <v>761576.53</v>
      </c>
      <c r="BC58" s="351">
        <f>IF(ISERROR(BB58/BA58),"",BB58/BA58)</f>
        <v>0.47775601447866156</v>
      </c>
    </row>
    <row r="59" spans="1:58" ht="24.75" customHeight="1" x14ac:dyDescent="0.2">
      <c r="A59" s="1229"/>
      <c r="B59" s="254" t="s">
        <v>177</v>
      </c>
      <c r="C59" s="31" t="s">
        <v>629</v>
      </c>
      <c r="D59" s="256">
        <f>'11_Inform_Gral_Presupuesto'!Z5</f>
        <v>0</v>
      </c>
      <c r="E59" s="255"/>
      <c r="F59" s="1094"/>
      <c r="G59" s="245" t="str">
        <f>IF(ISERROR(F60/E59),"",F60/E59)</f>
        <v/>
      </c>
      <c r="H59" s="255"/>
      <c r="I59" s="493"/>
      <c r="J59" s="245" t="str">
        <f t="shared" ref="J59:J68" si="66">IF(ISERROR(I59/H59),"",I59/H59)</f>
        <v/>
      </c>
      <c r="K59" s="255"/>
      <c r="L59" s="493">
        <v>327.60000000000002</v>
      </c>
      <c r="M59" s="245" t="str">
        <f t="shared" ref="M59:M68" si="67">IF(ISERROR(L59/K59),"",L59/K59)</f>
        <v/>
      </c>
      <c r="N59" s="258">
        <f t="shared" ref="N59:N68" si="68">E59+H59+K59</f>
        <v>0</v>
      </c>
      <c r="O59" s="258">
        <f>F60+I59+L59</f>
        <v>327.60000000000002</v>
      </c>
      <c r="P59" s="245" t="str">
        <f t="shared" ref="P59:P68" si="69">IF(ISERROR(O59/N59),"",O59/N59)</f>
        <v/>
      </c>
      <c r="Q59" s="255"/>
      <c r="R59" s="493">
        <v>60</v>
      </c>
      <c r="S59" s="245" t="str">
        <f t="shared" ref="S59:S68" si="70">IF(ISERROR(R59/Q59),"",R59/Q59)</f>
        <v/>
      </c>
      <c r="T59" s="255"/>
      <c r="U59" s="493"/>
      <c r="V59" s="245" t="str">
        <f t="shared" ref="V59:V68" si="71">IF(ISERROR(U59/T59),"",U59/T59)</f>
        <v/>
      </c>
      <c r="W59" s="255"/>
      <c r="X59" s="493">
        <v>7959.24</v>
      </c>
      <c r="Y59" s="245" t="str">
        <f t="shared" ref="Y59:Y68" si="72">IF(ISERROR(X59/W59),"",X59/W59)</f>
        <v/>
      </c>
      <c r="Z59" s="258">
        <f t="shared" ref="Z59:AA68" si="73">Q59+T59+W59</f>
        <v>0</v>
      </c>
      <c r="AA59" s="258">
        <f t="shared" si="73"/>
        <v>8019.24</v>
      </c>
      <c r="AB59" s="245" t="str">
        <f t="shared" ref="AB59:AB68" si="74">IF(ISERROR(AA59/Z59),"",AA59/Z59)</f>
        <v/>
      </c>
      <c r="AC59" s="255"/>
      <c r="AD59" s="493"/>
      <c r="AE59" s="245" t="str">
        <f t="shared" ref="AE59:AE68" si="75">IF(ISERROR(AD59/AC59),"",AD59/AC59)</f>
        <v/>
      </c>
      <c r="AF59" s="255"/>
      <c r="AG59" s="493"/>
      <c r="AH59" s="245" t="str">
        <f t="shared" ref="AH59:AH68" si="76">IF(ISERROR(AG59/AF59),"",AG59/AF59)</f>
        <v/>
      </c>
      <c r="AI59" s="255"/>
      <c r="AJ59" s="493"/>
      <c r="AK59" s="245" t="str">
        <f t="shared" ref="AK59:AK68" si="77">IF(ISERROR(AJ59/AI59),"",AJ59/AI59)</f>
        <v/>
      </c>
      <c r="AL59" s="258">
        <f t="shared" ref="AL59:AM68" si="78">AC59+AF59+AI59</f>
        <v>0</v>
      </c>
      <c r="AM59" s="258">
        <f t="shared" si="78"/>
        <v>0</v>
      </c>
      <c r="AN59" s="245" t="str">
        <f t="shared" ref="AN59:AN68" si="79">IF(ISERROR(AM59/AL59),"",AM59/AL59)</f>
        <v/>
      </c>
      <c r="AO59" s="255"/>
      <c r="AP59" s="493"/>
      <c r="AQ59" s="245" t="str">
        <f t="shared" ref="AQ59:AQ68" si="80">IF(ISERROR(AP59/AO59),"",AP59/AO59)</f>
        <v/>
      </c>
      <c r="AR59" s="255"/>
      <c r="AS59" s="493"/>
      <c r="AT59" s="245" t="str">
        <f t="shared" ref="AT59:AT68" si="81">IF(ISERROR(AS59/AR59),"",AS59/AR59)</f>
        <v/>
      </c>
      <c r="AU59" s="255"/>
      <c r="AV59" s="493"/>
      <c r="AW59" s="245" t="str">
        <f t="shared" ref="AW59:AW68" si="82">IF(ISERROR(AV59/AU59),"",AV59/AU59)</f>
        <v/>
      </c>
      <c r="AX59" s="258">
        <f t="shared" ref="AX59:AY68" si="83">AO59+AR59+AU59</f>
        <v>0</v>
      </c>
      <c r="AY59" s="258">
        <f t="shared" si="83"/>
        <v>0</v>
      </c>
      <c r="AZ59" s="245" t="str">
        <f t="shared" ref="AZ59:AZ68" si="84">IF(ISERROR(AY59/AX59),"",AY59/AX59)</f>
        <v/>
      </c>
      <c r="BA59" s="257">
        <f t="shared" ref="BA59:BA68" si="85">D59</f>
        <v>0</v>
      </c>
      <c r="BB59" s="258">
        <f t="shared" ref="BB59:BB67" si="86">O59+AA59+AM59+AY59</f>
        <v>8346.84</v>
      </c>
      <c r="BC59" s="351" t="str">
        <f t="shared" ref="BC59:BC68" si="87">IF(ISERROR(BB59/BA59),"",BB59/BA59)</f>
        <v/>
      </c>
    </row>
    <row r="60" spans="1:58" ht="24.75" customHeight="1" x14ac:dyDescent="0.2">
      <c r="A60" s="1229"/>
      <c r="B60" s="254" t="s">
        <v>178</v>
      </c>
      <c r="C60" s="31" t="s">
        <v>629</v>
      </c>
      <c r="D60" s="256">
        <f>'11_Inform_Gral_Presupuesto'!Z6</f>
        <v>82062.179999999993</v>
      </c>
      <c r="E60" s="255"/>
      <c r="F60" s="493"/>
      <c r="G60" s="245" t="str">
        <f>IF(ISERROR(#REF!/E60),"",#REF!/E60)</f>
        <v/>
      </c>
      <c r="H60" s="255"/>
      <c r="I60" s="493">
        <v>20461.77</v>
      </c>
      <c r="J60" s="245" t="str">
        <f t="shared" si="66"/>
        <v/>
      </c>
      <c r="K60" s="255"/>
      <c r="L60" s="493">
        <v>24416.49</v>
      </c>
      <c r="M60" s="245" t="str">
        <f t="shared" si="67"/>
        <v/>
      </c>
      <c r="N60" s="258">
        <f t="shared" si="68"/>
        <v>0</v>
      </c>
      <c r="O60" s="258" t="e">
        <f>#REF!+I60+L60</f>
        <v>#REF!</v>
      </c>
      <c r="P60" s="245" t="str">
        <f t="shared" si="69"/>
        <v/>
      </c>
      <c r="Q60" s="255"/>
      <c r="R60" s="493">
        <v>34703.67</v>
      </c>
      <c r="S60" s="245" t="str">
        <f t="shared" si="70"/>
        <v/>
      </c>
      <c r="T60" s="255"/>
      <c r="U60" s="493">
        <v>1548.6</v>
      </c>
      <c r="V60" s="245" t="str">
        <f t="shared" si="71"/>
        <v/>
      </c>
      <c r="W60" s="255"/>
      <c r="X60" s="493">
        <v>6817.51</v>
      </c>
      <c r="Y60" s="245" t="str">
        <f t="shared" si="72"/>
        <v/>
      </c>
      <c r="Z60" s="258">
        <f t="shared" si="73"/>
        <v>0</v>
      </c>
      <c r="AA60" s="258">
        <f t="shared" si="73"/>
        <v>43069.78</v>
      </c>
      <c r="AB60" s="245" t="str">
        <f t="shared" si="74"/>
        <v/>
      </c>
      <c r="AC60" s="255"/>
      <c r="AD60" s="493"/>
      <c r="AE60" s="245" t="str">
        <f t="shared" si="75"/>
        <v/>
      </c>
      <c r="AF60" s="255"/>
      <c r="AG60" s="493"/>
      <c r="AH60" s="245" t="str">
        <f t="shared" si="76"/>
        <v/>
      </c>
      <c r="AI60" s="255"/>
      <c r="AJ60" s="493"/>
      <c r="AK60" s="245" t="str">
        <f t="shared" si="77"/>
        <v/>
      </c>
      <c r="AL60" s="258">
        <f t="shared" si="78"/>
        <v>0</v>
      </c>
      <c r="AM60" s="258">
        <f t="shared" si="78"/>
        <v>0</v>
      </c>
      <c r="AN60" s="245" t="str">
        <f t="shared" si="79"/>
        <v/>
      </c>
      <c r="AO60" s="255"/>
      <c r="AP60" s="493"/>
      <c r="AQ60" s="245" t="str">
        <f t="shared" si="80"/>
        <v/>
      </c>
      <c r="AR60" s="255"/>
      <c r="AS60" s="493"/>
      <c r="AT60" s="245" t="str">
        <f t="shared" si="81"/>
        <v/>
      </c>
      <c r="AU60" s="255"/>
      <c r="AV60" s="493"/>
      <c r="AW60" s="245" t="str">
        <f t="shared" si="82"/>
        <v/>
      </c>
      <c r="AX60" s="258">
        <f t="shared" si="83"/>
        <v>0</v>
      </c>
      <c r="AY60" s="258">
        <f t="shared" si="83"/>
        <v>0</v>
      </c>
      <c r="AZ60" s="245" t="str">
        <f t="shared" si="84"/>
        <v/>
      </c>
      <c r="BA60" s="257">
        <f t="shared" si="85"/>
        <v>82062.179999999993</v>
      </c>
      <c r="BB60" s="258" t="e">
        <f t="shared" si="86"/>
        <v>#REF!</v>
      </c>
      <c r="BC60" s="351" t="str">
        <f t="shared" si="87"/>
        <v/>
      </c>
    </row>
    <row r="61" spans="1:58" ht="24.75" customHeight="1" x14ac:dyDescent="0.2">
      <c r="A61" s="1229"/>
      <c r="B61" s="254" t="s">
        <v>179</v>
      </c>
      <c r="C61" s="31" t="s">
        <v>629</v>
      </c>
      <c r="D61" s="256">
        <f>'11_Inform_Gral_Presupuesto'!Z7</f>
        <v>29485.75</v>
      </c>
      <c r="E61" s="255"/>
      <c r="F61" s="493"/>
      <c r="G61" s="245" t="str">
        <f t="shared" ref="G61:G68" si="88">IF(ISERROR(F61/E61),"",F61/E61)</f>
        <v/>
      </c>
      <c r="H61" s="255"/>
      <c r="I61" s="493">
        <v>45.04</v>
      </c>
      <c r="J61" s="245" t="str">
        <f t="shared" si="66"/>
        <v/>
      </c>
      <c r="K61" s="255"/>
      <c r="L61" s="493">
        <v>16127.56</v>
      </c>
      <c r="M61" s="245" t="str">
        <f t="shared" si="67"/>
        <v/>
      </c>
      <c r="N61" s="258">
        <f t="shared" si="68"/>
        <v>0</v>
      </c>
      <c r="O61" s="258">
        <f t="shared" ref="O61:O68" si="89">F61+I61+L61</f>
        <v>16172.6</v>
      </c>
      <c r="P61" s="245" t="str">
        <f t="shared" si="69"/>
        <v/>
      </c>
      <c r="Q61" s="255"/>
      <c r="R61" s="493">
        <v>75.489999999999995</v>
      </c>
      <c r="S61" s="245" t="str">
        <f t="shared" si="70"/>
        <v/>
      </c>
      <c r="T61" s="255"/>
      <c r="U61" s="493"/>
      <c r="V61" s="245" t="str">
        <f t="shared" si="71"/>
        <v/>
      </c>
      <c r="W61" s="255"/>
      <c r="X61" s="493">
        <v>12848.84</v>
      </c>
      <c r="Y61" s="245" t="str">
        <f t="shared" si="72"/>
        <v/>
      </c>
      <c r="Z61" s="258">
        <f t="shared" si="73"/>
        <v>0</v>
      </c>
      <c r="AA61" s="258">
        <f t="shared" si="73"/>
        <v>12924.33</v>
      </c>
      <c r="AB61" s="245" t="str">
        <f t="shared" si="74"/>
        <v/>
      </c>
      <c r="AC61" s="255"/>
      <c r="AD61" s="493"/>
      <c r="AE61" s="245" t="str">
        <f t="shared" si="75"/>
        <v/>
      </c>
      <c r="AF61" s="255"/>
      <c r="AG61" s="493"/>
      <c r="AH61" s="245" t="str">
        <f t="shared" si="76"/>
        <v/>
      </c>
      <c r="AI61" s="255"/>
      <c r="AJ61" s="493"/>
      <c r="AK61" s="245" t="str">
        <f t="shared" si="77"/>
        <v/>
      </c>
      <c r="AL61" s="258">
        <f t="shared" si="78"/>
        <v>0</v>
      </c>
      <c r="AM61" s="258">
        <f t="shared" si="78"/>
        <v>0</v>
      </c>
      <c r="AN61" s="245" t="str">
        <f t="shared" si="79"/>
        <v/>
      </c>
      <c r="AO61" s="255"/>
      <c r="AP61" s="493"/>
      <c r="AQ61" s="245" t="str">
        <f t="shared" si="80"/>
        <v/>
      </c>
      <c r="AR61" s="255"/>
      <c r="AS61" s="493"/>
      <c r="AT61" s="245" t="str">
        <f t="shared" si="81"/>
        <v/>
      </c>
      <c r="AU61" s="255"/>
      <c r="AV61" s="493"/>
      <c r="AW61" s="245" t="str">
        <f t="shared" si="82"/>
        <v/>
      </c>
      <c r="AX61" s="258">
        <f t="shared" si="83"/>
        <v>0</v>
      </c>
      <c r="AY61" s="258">
        <f t="shared" si="83"/>
        <v>0</v>
      </c>
      <c r="AZ61" s="245" t="str">
        <f t="shared" si="84"/>
        <v/>
      </c>
      <c r="BA61" s="257">
        <f t="shared" si="85"/>
        <v>29485.75</v>
      </c>
      <c r="BB61" s="258">
        <f t="shared" si="86"/>
        <v>29096.93</v>
      </c>
      <c r="BC61" s="351">
        <f t="shared" si="87"/>
        <v>0.98681329116607175</v>
      </c>
    </row>
    <row r="62" spans="1:58" ht="24.75" customHeight="1" x14ac:dyDescent="0.2">
      <c r="A62" s="1229"/>
      <c r="B62" s="254" t="s">
        <v>180</v>
      </c>
      <c r="C62" s="31" t="s">
        <v>629</v>
      </c>
      <c r="D62" s="256">
        <f>'11_Inform_Gral_Presupuesto'!Z8</f>
        <v>99322.31</v>
      </c>
      <c r="E62" s="255"/>
      <c r="F62" s="493">
        <v>9084.57</v>
      </c>
      <c r="G62" s="245" t="str">
        <f t="shared" si="88"/>
        <v/>
      </c>
      <c r="H62" s="255"/>
      <c r="I62" s="493">
        <v>7607.39</v>
      </c>
      <c r="J62" s="245" t="str">
        <f t="shared" si="66"/>
        <v/>
      </c>
      <c r="K62" s="255"/>
      <c r="L62" s="493">
        <v>8432</v>
      </c>
      <c r="M62" s="245" t="str">
        <f t="shared" si="67"/>
        <v/>
      </c>
      <c r="N62" s="258">
        <f t="shared" si="68"/>
        <v>0</v>
      </c>
      <c r="O62" s="258">
        <f t="shared" si="89"/>
        <v>25123.96</v>
      </c>
      <c r="P62" s="245" t="str">
        <f t="shared" si="69"/>
        <v/>
      </c>
      <c r="Q62" s="255"/>
      <c r="R62" s="493">
        <v>10323.75</v>
      </c>
      <c r="S62" s="245" t="str">
        <f t="shared" si="70"/>
        <v/>
      </c>
      <c r="T62" s="255"/>
      <c r="U62" s="493">
        <v>8695.1299999999992</v>
      </c>
      <c r="V62" s="245" t="str">
        <f t="shared" si="71"/>
        <v/>
      </c>
      <c r="W62" s="255"/>
      <c r="X62" s="493">
        <v>8692.08</v>
      </c>
      <c r="Y62" s="245" t="str">
        <f t="shared" si="72"/>
        <v/>
      </c>
      <c r="Z62" s="258">
        <f t="shared" si="73"/>
        <v>0</v>
      </c>
      <c r="AA62" s="258">
        <f t="shared" si="73"/>
        <v>27710.959999999999</v>
      </c>
      <c r="AB62" s="245" t="str">
        <f t="shared" si="74"/>
        <v/>
      </c>
      <c r="AC62" s="255"/>
      <c r="AD62" s="493"/>
      <c r="AE62" s="245" t="str">
        <f t="shared" si="75"/>
        <v/>
      </c>
      <c r="AF62" s="255"/>
      <c r="AG62" s="493"/>
      <c r="AH62" s="245" t="str">
        <f t="shared" si="76"/>
        <v/>
      </c>
      <c r="AI62" s="255"/>
      <c r="AJ62" s="493"/>
      <c r="AK62" s="245" t="str">
        <f t="shared" si="77"/>
        <v/>
      </c>
      <c r="AL62" s="258">
        <f t="shared" si="78"/>
        <v>0</v>
      </c>
      <c r="AM62" s="258">
        <f t="shared" si="78"/>
        <v>0</v>
      </c>
      <c r="AN62" s="245" t="str">
        <f t="shared" si="79"/>
        <v/>
      </c>
      <c r="AO62" s="255"/>
      <c r="AP62" s="493"/>
      <c r="AQ62" s="245" t="str">
        <f t="shared" si="80"/>
        <v/>
      </c>
      <c r="AR62" s="255"/>
      <c r="AS62" s="493"/>
      <c r="AT62" s="245" t="str">
        <f t="shared" si="81"/>
        <v/>
      </c>
      <c r="AU62" s="255"/>
      <c r="AV62" s="493"/>
      <c r="AW62" s="245" t="str">
        <f t="shared" si="82"/>
        <v/>
      </c>
      <c r="AX62" s="258">
        <f t="shared" si="83"/>
        <v>0</v>
      </c>
      <c r="AY62" s="258">
        <f t="shared" si="83"/>
        <v>0</v>
      </c>
      <c r="AZ62" s="245" t="str">
        <f t="shared" si="84"/>
        <v/>
      </c>
      <c r="BA62" s="257">
        <f t="shared" si="85"/>
        <v>99322.31</v>
      </c>
      <c r="BB62" s="258">
        <f t="shared" si="86"/>
        <v>52834.92</v>
      </c>
      <c r="BC62" s="351">
        <f t="shared" si="87"/>
        <v>0.53195420042083197</v>
      </c>
    </row>
    <row r="63" spans="1:58" ht="24.75" customHeight="1" x14ac:dyDescent="0.2">
      <c r="A63" s="1229"/>
      <c r="B63" s="254" t="s">
        <v>181</v>
      </c>
      <c r="C63" s="31" t="s">
        <v>629</v>
      </c>
      <c r="D63" s="256">
        <f>'11_Inform_Gral_Presupuesto'!Z9</f>
        <v>77347.8</v>
      </c>
      <c r="E63" s="255"/>
      <c r="F63" s="493">
        <v>13116.58</v>
      </c>
      <c r="G63" s="245" t="str">
        <f t="shared" si="88"/>
        <v/>
      </c>
      <c r="H63" s="255"/>
      <c r="I63" s="493">
        <v>7984.03</v>
      </c>
      <c r="J63" s="245" t="str">
        <f t="shared" si="66"/>
        <v/>
      </c>
      <c r="K63" s="255"/>
      <c r="L63" s="493">
        <v>751.14</v>
      </c>
      <c r="M63" s="245" t="str">
        <f t="shared" si="67"/>
        <v/>
      </c>
      <c r="N63" s="258">
        <f t="shared" si="68"/>
        <v>0</v>
      </c>
      <c r="O63" s="258">
        <f t="shared" si="89"/>
        <v>21851.75</v>
      </c>
      <c r="P63" s="245" t="str">
        <f t="shared" si="69"/>
        <v/>
      </c>
      <c r="Q63" s="255"/>
      <c r="R63" s="493">
        <v>16549.47</v>
      </c>
      <c r="S63" s="245" t="str">
        <f t="shared" si="70"/>
        <v/>
      </c>
      <c r="T63" s="255"/>
      <c r="U63" s="493">
        <v>8925.7199999999993</v>
      </c>
      <c r="V63" s="245" t="str">
        <f t="shared" si="71"/>
        <v/>
      </c>
      <c r="W63" s="255"/>
      <c r="X63" s="493">
        <v>105.85</v>
      </c>
      <c r="Y63" s="245" t="str">
        <f t="shared" si="72"/>
        <v/>
      </c>
      <c r="Z63" s="258">
        <f t="shared" si="73"/>
        <v>0</v>
      </c>
      <c r="AA63" s="258">
        <f t="shared" si="73"/>
        <v>25581.040000000001</v>
      </c>
      <c r="AB63" s="245" t="str">
        <f t="shared" si="74"/>
        <v/>
      </c>
      <c r="AC63" s="255"/>
      <c r="AD63" s="493"/>
      <c r="AE63" s="245" t="str">
        <f t="shared" si="75"/>
        <v/>
      </c>
      <c r="AF63" s="255"/>
      <c r="AG63" s="493"/>
      <c r="AH63" s="245" t="str">
        <f t="shared" si="76"/>
        <v/>
      </c>
      <c r="AI63" s="255"/>
      <c r="AJ63" s="493"/>
      <c r="AK63" s="245" t="str">
        <f t="shared" si="77"/>
        <v/>
      </c>
      <c r="AL63" s="258">
        <f t="shared" si="78"/>
        <v>0</v>
      </c>
      <c r="AM63" s="258">
        <f t="shared" si="78"/>
        <v>0</v>
      </c>
      <c r="AN63" s="245" t="str">
        <f t="shared" si="79"/>
        <v/>
      </c>
      <c r="AO63" s="255"/>
      <c r="AP63" s="493"/>
      <c r="AQ63" s="245" t="str">
        <f t="shared" si="80"/>
        <v/>
      </c>
      <c r="AR63" s="255"/>
      <c r="AS63" s="493"/>
      <c r="AT63" s="245" t="str">
        <f t="shared" si="81"/>
        <v/>
      </c>
      <c r="AU63" s="255"/>
      <c r="AV63" s="493"/>
      <c r="AW63" s="245" t="str">
        <f t="shared" si="82"/>
        <v/>
      </c>
      <c r="AX63" s="258">
        <f t="shared" si="83"/>
        <v>0</v>
      </c>
      <c r="AY63" s="258">
        <f t="shared" si="83"/>
        <v>0</v>
      </c>
      <c r="AZ63" s="245" t="str">
        <f t="shared" si="84"/>
        <v/>
      </c>
      <c r="BA63" s="257">
        <f t="shared" si="85"/>
        <v>77347.8</v>
      </c>
      <c r="BB63" s="258">
        <f t="shared" si="86"/>
        <v>47432.79</v>
      </c>
      <c r="BC63" s="351">
        <f t="shared" si="87"/>
        <v>0.61324032487026137</v>
      </c>
    </row>
    <row r="64" spans="1:58" ht="24.75" customHeight="1" x14ac:dyDescent="0.2">
      <c r="A64" s="1229"/>
      <c r="B64" s="254" t="s">
        <v>662</v>
      </c>
      <c r="C64" s="31" t="s">
        <v>629</v>
      </c>
      <c r="D64" s="256">
        <f>'11_Inform_Gral_Presupuesto'!Z10</f>
        <v>0</v>
      </c>
      <c r="E64" s="255"/>
      <c r="F64" s="493"/>
      <c r="G64" s="245" t="str">
        <f>IF(ISERROR(F64/E64),"",F64/E64)</f>
        <v/>
      </c>
      <c r="H64" s="255"/>
      <c r="I64" s="493"/>
      <c r="J64" s="245" t="str">
        <f>IF(ISERROR(I64/H64),"",I64/H64)</f>
        <v/>
      </c>
      <c r="K64" s="255"/>
      <c r="L64" s="493"/>
      <c r="M64" s="245" t="str">
        <f>IF(ISERROR(L64/K64),"",L64/K64)</f>
        <v/>
      </c>
      <c r="N64" s="258">
        <f t="shared" ref="N64:O66" si="90">E64+H64+K64</f>
        <v>0</v>
      </c>
      <c r="O64" s="258">
        <f t="shared" si="90"/>
        <v>0</v>
      </c>
      <c r="P64" s="245" t="str">
        <f>IF(ISERROR(O64/N64),"",O64/N64)</f>
        <v/>
      </c>
      <c r="Q64" s="255"/>
      <c r="R64" s="493"/>
      <c r="S64" s="245" t="str">
        <f>IF(ISERROR(R64/Q64),"",R64/Q64)</f>
        <v/>
      </c>
      <c r="T64" s="255"/>
      <c r="U64" s="493"/>
      <c r="V64" s="245" t="str">
        <f>IF(ISERROR(U64/T64),"",U64/T64)</f>
        <v/>
      </c>
      <c r="W64" s="255"/>
      <c r="X64" s="493"/>
      <c r="Y64" s="245" t="str">
        <f>IF(ISERROR(X64/W64),"",X64/W64)</f>
        <v/>
      </c>
      <c r="Z64" s="258">
        <f t="shared" ref="Z64:AA66" si="91">Q64+T64+W64</f>
        <v>0</v>
      </c>
      <c r="AA64" s="258">
        <f t="shared" si="91"/>
        <v>0</v>
      </c>
      <c r="AB64" s="245" t="str">
        <f>IF(ISERROR(AA64/Z64),"",AA64/Z64)</f>
        <v/>
      </c>
      <c r="AC64" s="255"/>
      <c r="AD64" s="493"/>
      <c r="AE64" s="245" t="str">
        <f>IF(ISERROR(AD64/AC64),"",AD64/AC64)</f>
        <v/>
      </c>
      <c r="AF64" s="255"/>
      <c r="AG64" s="493"/>
      <c r="AH64" s="245" t="str">
        <f>IF(ISERROR(AG64/AF64),"",AG64/AF64)</f>
        <v/>
      </c>
      <c r="AI64" s="255"/>
      <c r="AJ64" s="493"/>
      <c r="AK64" s="245" t="str">
        <f>IF(ISERROR(AJ64/AI64),"",AJ64/AI64)</f>
        <v/>
      </c>
      <c r="AL64" s="258">
        <f t="shared" ref="AL64:AM66" si="92">AC64+AF64+AI64</f>
        <v>0</v>
      </c>
      <c r="AM64" s="258">
        <f t="shared" si="92"/>
        <v>0</v>
      </c>
      <c r="AN64" s="245" t="str">
        <f>IF(ISERROR(AM64/AL64),"",AM64/AL64)</f>
        <v/>
      </c>
      <c r="AO64" s="255"/>
      <c r="AP64" s="493"/>
      <c r="AQ64" s="245" t="str">
        <f>IF(ISERROR(AP64/AO64),"",AP64/AO64)</f>
        <v/>
      </c>
      <c r="AR64" s="255"/>
      <c r="AS64" s="493"/>
      <c r="AT64" s="245" t="str">
        <f>IF(ISERROR(AS64/AR64),"",AS64/AR64)</f>
        <v/>
      </c>
      <c r="AU64" s="255"/>
      <c r="AV64" s="493"/>
      <c r="AW64" s="245" t="str">
        <f>IF(ISERROR(AV64/AU64),"",AV64/AU64)</f>
        <v/>
      </c>
      <c r="AX64" s="258">
        <f t="shared" ref="AX64:AY66" si="93">AO64+AR64+AU64</f>
        <v>0</v>
      </c>
      <c r="AY64" s="258">
        <f t="shared" si="93"/>
        <v>0</v>
      </c>
      <c r="AZ64" s="245" t="str">
        <f>IF(ISERROR(AY64/AX64),"",AY64/AX64)</f>
        <v/>
      </c>
      <c r="BA64" s="257">
        <f>D64</f>
        <v>0</v>
      </c>
      <c r="BB64" s="258">
        <f>O64+AA64+AM64+AY64</f>
        <v>0</v>
      </c>
      <c r="BC64" s="351" t="str">
        <f>IF(ISERROR(BB64/BA64),"",BB64/BA64)</f>
        <v/>
      </c>
    </row>
    <row r="65" spans="1:55" ht="24.75" customHeight="1" x14ac:dyDescent="0.2">
      <c r="A65" s="1229"/>
      <c r="B65" s="254" t="s">
        <v>663</v>
      </c>
      <c r="C65" s="31" t="s">
        <v>629</v>
      </c>
      <c r="D65" s="256">
        <f>'11_Inform_Gral_Presupuesto'!Z11</f>
        <v>0</v>
      </c>
      <c r="E65" s="255"/>
      <c r="F65" s="493"/>
      <c r="G65" s="245" t="str">
        <f>IF(ISERROR(F65/E65),"",F65/E65)</f>
        <v/>
      </c>
      <c r="H65" s="255"/>
      <c r="I65" s="493"/>
      <c r="J65" s="245" t="str">
        <f>IF(ISERROR(I65/H65),"",I65/H65)</f>
        <v/>
      </c>
      <c r="K65" s="255"/>
      <c r="L65" s="493"/>
      <c r="M65" s="245" t="str">
        <f>IF(ISERROR(L65/K65),"",L65/K65)</f>
        <v/>
      </c>
      <c r="N65" s="258">
        <f t="shared" si="90"/>
        <v>0</v>
      </c>
      <c r="O65" s="258">
        <f t="shared" si="90"/>
        <v>0</v>
      </c>
      <c r="P65" s="245" t="str">
        <f>IF(ISERROR(O65/N65),"",O65/N65)</f>
        <v/>
      </c>
      <c r="Q65" s="255"/>
      <c r="R65" s="493"/>
      <c r="S65" s="245" t="str">
        <f>IF(ISERROR(R65/Q65),"",R65/Q65)</f>
        <v/>
      </c>
      <c r="T65" s="255"/>
      <c r="U65" s="493">
        <v>1420</v>
      </c>
      <c r="V65" s="245" t="str">
        <f>IF(ISERROR(U65/T65),"",U65/T65)</f>
        <v/>
      </c>
      <c r="W65" s="255"/>
      <c r="X65" s="493"/>
      <c r="Y65" s="245" t="str">
        <f>IF(ISERROR(X65/W65),"",X65/W65)</f>
        <v/>
      </c>
      <c r="Z65" s="258">
        <f t="shared" si="91"/>
        <v>0</v>
      </c>
      <c r="AA65" s="258">
        <f t="shared" si="91"/>
        <v>1420</v>
      </c>
      <c r="AB65" s="245" t="str">
        <f>IF(ISERROR(AA65/Z65),"",AA65/Z65)</f>
        <v/>
      </c>
      <c r="AC65" s="255"/>
      <c r="AD65" s="493"/>
      <c r="AE65" s="245" t="str">
        <f>IF(ISERROR(AD65/AC65),"",AD65/AC65)</f>
        <v/>
      </c>
      <c r="AF65" s="255"/>
      <c r="AG65" s="493"/>
      <c r="AH65" s="245" t="str">
        <f>IF(ISERROR(AG65/AF65),"",AG65/AF65)</f>
        <v/>
      </c>
      <c r="AI65" s="255"/>
      <c r="AJ65" s="493"/>
      <c r="AK65" s="245" t="str">
        <f>IF(ISERROR(AJ65/AI65),"",AJ65/AI65)</f>
        <v/>
      </c>
      <c r="AL65" s="258">
        <f t="shared" si="92"/>
        <v>0</v>
      </c>
      <c r="AM65" s="258">
        <f t="shared" si="92"/>
        <v>0</v>
      </c>
      <c r="AN65" s="245" t="str">
        <f>IF(ISERROR(AM65/AL65),"",AM65/AL65)</f>
        <v/>
      </c>
      <c r="AO65" s="255"/>
      <c r="AP65" s="493"/>
      <c r="AQ65" s="245" t="str">
        <f>IF(ISERROR(AP65/AO65),"",AP65/AO65)</f>
        <v/>
      </c>
      <c r="AR65" s="255"/>
      <c r="AS65" s="493"/>
      <c r="AT65" s="245" t="str">
        <f>IF(ISERROR(AS65/AR65),"",AS65/AR65)</f>
        <v/>
      </c>
      <c r="AU65" s="255"/>
      <c r="AV65" s="493"/>
      <c r="AW65" s="245" t="str">
        <f>IF(ISERROR(AV65/AU65),"",AV65/AU65)</f>
        <v/>
      </c>
      <c r="AX65" s="258">
        <f t="shared" si="93"/>
        <v>0</v>
      </c>
      <c r="AY65" s="258">
        <f t="shared" si="93"/>
        <v>0</v>
      </c>
      <c r="AZ65" s="245" t="str">
        <f>IF(ISERROR(AY65/AX65),"",AY65/AX65)</f>
        <v/>
      </c>
      <c r="BA65" s="257">
        <f>D65</f>
        <v>0</v>
      </c>
      <c r="BB65" s="258">
        <f>O65+AA65+AM65+AY65</f>
        <v>1420</v>
      </c>
      <c r="BC65" s="351" t="str">
        <f>IF(ISERROR(BB65/BA65),"",BB65/BA65)</f>
        <v/>
      </c>
    </row>
    <row r="66" spans="1:55" ht="24.75" customHeight="1" x14ac:dyDescent="0.2">
      <c r="A66" s="1229"/>
      <c r="B66" s="254" t="s">
        <v>664</v>
      </c>
      <c r="C66" s="31" t="s">
        <v>629</v>
      </c>
      <c r="D66" s="256">
        <f>'11_Inform_Gral_Presupuesto'!Z12</f>
        <v>5381.02</v>
      </c>
      <c r="E66" s="255"/>
      <c r="F66" s="493">
        <v>521.5</v>
      </c>
      <c r="G66" s="245" t="str">
        <f>IF(ISERROR(F66/E66),"",F66/E66)</f>
        <v/>
      </c>
      <c r="H66" s="255"/>
      <c r="I66" s="493">
        <v>881.89</v>
      </c>
      <c r="J66" s="245" t="str">
        <f>IF(ISERROR(I66/H66),"",I66/H66)</f>
        <v/>
      </c>
      <c r="K66" s="255"/>
      <c r="L66" s="493">
        <v>3629.74</v>
      </c>
      <c r="M66" s="245" t="str">
        <f>IF(ISERROR(L66/K66),"",L66/K66)</f>
        <v/>
      </c>
      <c r="N66" s="258">
        <f t="shared" si="90"/>
        <v>0</v>
      </c>
      <c r="O66" s="258">
        <f t="shared" si="90"/>
        <v>5033.1299999999992</v>
      </c>
      <c r="P66" s="245" t="str">
        <f>IF(ISERROR(O66/N66),"",O66/N66)</f>
        <v/>
      </c>
      <c r="Q66" s="255"/>
      <c r="R66" s="493">
        <v>1049.51</v>
      </c>
      <c r="S66" s="245" t="str">
        <f>IF(ISERROR(R66/Q66),"",R66/Q66)</f>
        <v/>
      </c>
      <c r="T66" s="255"/>
      <c r="U66" s="493">
        <v>450.29</v>
      </c>
      <c r="V66" s="245" t="str">
        <f>IF(ISERROR(U66/T66),"",U66/T66)</f>
        <v/>
      </c>
      <c r="W66" s="255"/>
      <c r="X66" s="493">
        <v>3040.01</v>
      </c>
      <c r="Y66" s="245" t="str">
        <f>IF(ISERROR(X66/W66),"",X66/W66)</f>
        <v/>
      </c>
      <c r="Z66" s="258">
        <f t="shared" si="91"/>
        <v>0</v>
      </c>
      <c r="AA66" s="258">
        <f t="shared" si="91"/>
        <v>4539.8100000000004</v>
      </c>
      <c r="AB66" s="245" t="str">
        <f>IF(ISERROR(AA66/Z66),"",AA66/Z66)</f>
        <v/>
      </c>
      <c r="AC66" s="255"/>
      <c r="AD66" s="493"/>
      <c r="AE66" s="245" t="str">
        <f>IF(ISERROR(AD66/AC66),"",AD66/AC66)</f>
        <v/>
      </c>
      <c r="AF66" s="255"/>
      <c r="AG66" s="493"/>
      <c r="AH66" s="245" t="str">
        <f>IF(ISERROR(AG66/AF66),"",AG66/AF66)</f>
        <v/>
      </c>
      <c r="AI66" s="255"/>
      <c r="AJ66" s="493"/>
      <c r="AK66" s="245" t="str">
        <f>IF(ISERROR(AJ66/AI66),"",AJ66/AI66)</f>
        <v/>
      </c>
      <c r="AL66" s="258">
        <f t="shared" si="92"/>
        <v>0</v>
      </c>
      <c r="AM66" s="258">
        <f t="shared" si="92"/>
        <v>0</v>
      </c>
      <c r="AN66" s="245" t="str">
        <f>IF(ISERROR(AM66/AL66),"",AM66/AL66)</f>
        <v/>
      </c>
      <c r="AO66" s="255"/>
      <c r="AP66" s="493"/>
      <c r="AQ66" s="245" t="str">
        <f>IF(ISERROR(AP66/AO66),"",AP66/AO66)</f>
        <v/>
      </c>
      <c r="AR66" s="255"/>
      <c r="AS66" s="493"/>
      <c r="AT66" s="245" t="str">
        <f>IF(ISERROR(AS66/AR66),"",AS66/AR66)</f>
        <v/>
      </c>
      <c r="AU66" s="255"/>
      <c r="AV66" s="493"/>
      <c r="AW66" s="245" t="str">
        <f>IF(ISERROR(AV66/AU66),"",AV66/AU66)</f>
        <v/>
      </c>
      <c r="AX66" s="258">
        <f t="shared" si="93"/>
        <v>0</v>
      </c>
      <c r="AY66" s="258">
        <f t="shared" si="93"/>
        <v>0</v>
      </c>
      <c r="AZ66" s="245" t="str">
        <f>IF(ISERROR(AY66/AX66),"",AY66/AX66)</f>
        <v/>
      </c>
      <c r="BA66" s="257">
        <f>D66</f>
        <v>5381.02</v>
      </c>
      <c r="BB66" s="258">
        <f>O66+AA66+AM66+AY66</f>
        <v>9572.9399999999987</v>
      </c>
      <c r="BC66" s="351">
        <f>IF(ISERROR(BB66/BA66),"",BB66/BA66)</f>
        <v>1.7790195910812445</v>
      </c>
    </row>
    <row r="67" spans="1:55" ht="24.75" customHeight="1" x14ac:dyDescent="0.2">
      <c r="A67" s="1229"/>
      <c r="B67" s="254" t="s">
        <v>59</v>
      </c>
      <c r="C67" s="31" t="s">
        <v>629</v>
      </c>
      <c r="D67" s="256">
        <f>'11_Inform_Gral_Presupuesto'!R13</f>
        <v>113835</v>
      </c>
      <c r="E67" s="255"/>
      <c r="F67" s="493">
        <v>8611.1</v>
      </c>
      <c r="G67" s="245" t="str">
        <f t="shared" si="88"/>
        <v/>
      </c>
      <c r="H67" s="255"/>
      <c r="I67" s="493">
        <v>12475.63</v>
      </c>
      <c r="J67" s="245" t="str">
        <f t="shared" si="66"/>
        <v/>
      </c>
      <c r="K67" s="255"/>
      <c r="L67" s="493">
        <v>72420.210000000006</v>
      </c>
      <c r="M67" s="245" t="str">
        <f t="shared" si="67"/>
        <v/>
      </c>
      <c r="N67" s="258">
        <f t="shared" si="68"/>
        <v>0</v>
      </c>
      <c r="O67" s="258">
        <f t="shared" si="89"/>
        <v>93506.94</v>
      </c>
      <c r="P67" s="245" t="str">
        <f t="shared" si="69"/>
        <v/>
      </c>
      <c r="Q67" s="255"/>
      <c r="R67" s="493">
        <v>28089.62</v>
      </c>
      <c r="S67" s="245" t="str">
        <f t="shared" si="70"/>
        <v/>
      </c>
      <c r="T67" s="255"/>
      <c r="U67" s="493">
        <v>25807.99</v>
      </c>
      <c r="V67" s="245" t="str">
        <f t="shared" si="71"/>
        <v/>
      </c>
      <c r="W67" s="255"/>
      <c r="X67" s="493">
        <v>29774.19</v>
      </c>
      <c r="Y67" s="245" t="str">
        <f t="shared" si="72"/>
        <v/>
      </c>
      <c r="Z67" s="258">
        <f t="shared" si="73"/>
        <v>0</v>
      </c>
      <c r="AA67" s="258">
        <f t="shared" si="73"/>
        <v>83671.8</v>
      </c>
      <c r="AB67" s="245" t="str">
        <f t="shared" si="74"/>
        <v/>
      </c>
      <c r="AC67" s="255"/>
      <c r="AD67" s="493"/>
      <c r="AE67" s="245" t="str">
        <f t="shared" si="75"/>
        <v/>
      </c>
      <c r="AF67" s="255"/>
      <c r="AG67" s="493"/>
      <c r="AH67" s="245" t="str">
        <f t="shared" si="76"/>
        <v/>
      </c>
      <c r="AI67" s="255"/>
      <c r="AJ67" s="493"/>
      <c r="AK67" s="245" t="str">
        <f t="shared" si="77"/>
        <v/>
      </c>
      <c r="AL67" s="258">
        <f t="shared" si="78"/>
        <v>0</v>
      </c>
      <c r="AM67" s="258">
        <f t="shared" si="78"/>
        <v>0</v>
      </c>
      <c r="AN67" s="245" t="str">
        <f t="shared" si="79"/>
        <v/>
      </c>
      <c r="AO67" s="255"/>
      <c r="AP67" s="493"/>
      <c r="AQ67" s="245" t="str">
        <f t="shared" si="80"/>
        <v/>
      </c>
      <c r="AR67" s="255"/>
      <c r="AS67" s="493"/>
      <c r="AT67" s="245" t="str">
        <f t="shared" si="81"/>
        <v/>
      </c>
      <c r="AU67" s="255"/>
      <c r="AV67" s="493"/>
      <c r="AW67" s="245" t="str">
        <f t="shared" si="82"/>
        <v/>
      </c>
      <c r="AX67" s="258">
        <f t="shared" si="83"/>
        <v>0</v>
      </c>
      <c r="AY67" s="258">
        <f t="shared" si="83"/>
        <v>0</v>
      </c>
      <c r="AZ67" s="245" t="str">
        <f t="shared" si="84"/>
        <v/>
      </c>
      <c r="BA67" s="257">
        <f t="shared" si="85"/>
        <v>113835</v>
      </c>
      <c r="BB67" s="258">
        <f t="shared" si="86"/>
        <v>177178.74</v>
      </c>
      <c r="BC67" s="351">
        <f t="shared" si="87"/>
        <v>1.5564522334958493</v>
      </c>
    </row>
    <row r="68" spans="1:55" ht="24.75" customHeight="1" thickBot="1" x14ac:dyDescent="0.25">
      <c r="A68" s="1230"/>
      <c r="B68" s="487" t="s">
        <v>33</v>
      </c>
      <c r="C68" s="488" t="s">
        <v>629</v>
      </c>
      <c r="D68" s="489">
        <f>SUM(D58:D67)</f>
        <v>2001504.06</v>
      </c>
      <c r="E68" s="489">
        <f>SUM(E58:E67)</f>
        <v>0</v>
      </c>
      <c r="F68" s="489">
        <f>SUM(F58:F67)</f>
        <v>157610.4</v>
      </c>
      <c r="G68" s="490" t="str">
        <f t="shared" si="88"/>
        <v/>
      </c>
      <c r="H68" s="489">
        <f>SUM(H58:H67)</f>
        <v>0</v>
      </c>
      <c r="I68" s="489">
        <f>SUM(I58:I67)</f>
        <v>176582.56000000003</v>
      </c>
      <c r="J68" s="490" t="str">
        <f t="shared" si="66"/>
        <v/>
      </c>
      <c r="K68" s="489">
        <f>SUM(K58:K67)</f>
        <v>0</v>
      </c>
      <c r="L68" s="489">
        <f>SUM(L58:L67)</f>
        <v>253469.26</v>
      </c>
      <c r="M68" s="490" t="str">
        <f t="shared" si="67"/>
        <v/>
      </c>
      <c r="N68" s="491">
        <f t="shared" si="68"/>
        <v>0</v>
      </c>
      <c r="O68" s="491">
        <f t="shared" si="89"/>
        <v>587662.22</v>
      </c>
      <c r="P68" s="490" t="str">
        <f t="shared" si="69"/>
        <v/>
      </c>
      <c r="Q68" s="489">
        <f>SUM(Q58:Q67)</f>
        <v>0</v>
      </c>
      <c r="R68" s="489">
        <f>SUM(R58:R67)</f>
        <v>218212.92</v>
      </c>
      <c r="S68" s="490" t="str">
        <f t="shared" si="70"/>
        <v/>
      </c>
      <c r="T68" s="489">
        <f>SUM(T58:T67)</f>
        <v>0</v>
      </c>
      <c r="U68" s="489">
        <f>SUM(U58:U67)</f>
        <v>173557.27</v>
      </c>
      <c r="V68" s="490" t="str">
        <f t="shared" si="71"/>
        <v/>
      </c>
      <c r="W68" s="489">
        <f>SUM(W58:W67)</f>
        <v>0</v>
      </c>
      <c r="X68" s="489">
        <f>SUM(X58:X67)</f>
        <v>195975.32</v>
      </c>
      <c r="Y68" s="490" t="str">
        <f t="shared" si="72"/>
        <v/>
      </c>
      <c r="Z68" s="491">
        <f t="shared" si="73"/>
        <v>0</v>
      </c>
      <c r="AA68" s="491">
        <f t="shared" si="73"/>
        <v>587745.51</v>
      </c>
      <c r="AB68" s="490" t="str">
        <f t="shared" si="74"/>
        <v/>
      </c>
      <c r="AC68" s="489">
        <f>SUM(AC58:AC67)</f>
        <v>0</v>
      </c>
      <c r="AD68" s="489">
        <f>SUM(AD58:AD67)</f>
        <v>0</v>
      </c>
      <c r="AE68" s="490" t="str">
        <f t="shared" si="75"/>
        <v/>
      </c>
      <c r="AF68" s="489">
        <f>SUM(AF58:AF67)</f>
        <v>0</v>
      </c>
      <c r="AG68" s="489">
        <f>SUM(AG58:AG67)</f>
        <v>0</v>
      </c>
      <c r="AH68" s="490" t="str">
        <f t="shared" si="76"/>
        <v/>
      </c>
      <c r="AI68" s="489">
        <f>SUM(AI58:AI67)</f>
        <v>0</v>
      </c>
      <c r="AJ68" s="489">
        <f>SUM(AJ58:AJ67)</f>
        <v>0</v>
      </c>
      <c r="AK68" s="490" t="str">
        <f t="shared" si="77"/>
        <v/>
      </c>
      <c r="AL68" s="491">
        <f t="shared" si="78"/>
        <v>0</v>
      </c>
      <c r="AM68" s="491">
        <f t="shared" si="78"/>
        <v>0</v>
      </c>
      <c r="AN68" s="490" t="str">
        <f t="shared" si="79"/>
        <v/>
      </c>
      <c r="AO68" s="489">
        <f>SUM(AO58:AO67)</f>
        <v>0</v>
      </c>
      <c r="AP68" s="489">
        <f>SUM(AP58:AP67)</f>
        <v>0</v>
      </c>
      <c r="AQ68" s="490" t="str">
        <f t="shared" si="80"/>
        <v/>
      </c>
      <c r="AR68" s="489">
        <f>SUM(AR58:AR67)</f>
        <v>0</v>
      </c>
      <c r="AS68" s="489">
        <f>SUM(AS58:AS67)</f>
        <v>0</v>
      </c>
      <c r="AT68" s="490" t="str">
        <f t="shared" si="81"/>
        <v/>
      </c>
      <c r="AU68" s="489">
        <f>SUM(AU58:AU67)</f>
        <v>0</v>
      </c>
      <c r="AV68" s="489">
        <f>SUM(AV58:AV67)</f>
        <v>0</v>
      </c>
      <c r="AW68" s="490" t="str">
        <f t="shared" si="82"/>
        <v/>
      </c>
      <c r="AX68" s="491">
        <f t="shared" si="83"/>
        <v>0</v>
      </c>
      <c r="AY68" s="491">
        <f t="shared" si="83"/>
        <v>0</v>
      </c>
      <c r="AZ68" s="490" t="str">
        <f t="shared" si="84"/>
        <v/>
      </c>
      <c r="BA68" s="489">
        <f t="shared" si="85"/>
        <v>2001504.06</v>
      </c>
      <c r="BB68" s="491" t="e">
        <f>SUM(BB58:BB67)</f>
        <v>#REF!</v>
      </c>
      <c r="BC68" s="492" t="str">
        <f t="shared" si="87"/>
        <v/>
      </c>
    </row>
    <row r="69" spans="1:55" x14ac:dyDescent="0.2">
      <c r="A69" s="34"/>
      <c r="B69" s="34"/>
      <c r="C69" s="34"/>
      <c r="D69" s="9"/>
      <c r="E69" s="9"/>
      <c r="F69" s="9"/>
      <c r="G69" s="9"/>
      <c r="H69" s="9"/>
      <c r="I69" s="9"/>
      <c r="J69" s="9"/>
      <c r="K69" s="9"/>
      <c r="L69" s="9"/>
      <c r="M69" s="9"/>
      <c r="N69" s="9"/>
      <c r="O69" s="9"/>
      <c r="P69" s="9"/>
      <c r="Q69" s="9"/>
      <c r="R69" s="9"/>
      <c r="S69" s="9"/>
    </row>
    <row r="70" spans="1:55" x14ac:dyDescent="0.2">
      <c r="A70" s="34"/>
      <c r="B70" s="34"/>
      <c r="C70" s="34"/>
      <c r="D70" s="9"/>
      <c r="E70" s="9"/>
      <c r="F70" s="9"/>
      <c r="G70" s="9"/>
      <c r="H70" s="9"/>
      <c r="I70" s="9"/>
      <c r="J70" s="9"/>
      <c r="K70" s="9"/>
      <c r="L70" s="9"/>
      <c r="M70" s="9"/>
      <c r="N70" s="9"/>
      <c r="O70" s="9"/>
      <c r="P70" s="9"/>
      <c r="Q70" s="9"/>
      <c r="R70" s="9"/>
      <c r="S70" s="9"/>
    </row>
    <row r="71" spans="1:55" x14ac:dyDescent="0.2">
      <c r="A71" s="34"/>
      <c r="B71" s="34"/>
      <c r="C71" s="34"/>
      <c r="D71" s="9"/>
      <c r="E71" s="9"/>
      <c r="F71" s="9"/>
      <c r="G71" s="9"/>
      <c r="H71" s="9"/>
      <c r="I71" s="9"/>
      <c r="J71" s="9"/>
      <c r="K71" s="9"/>
      <c r="L71" s="9"/>
      <c r="M71" s="9"/>
      <c r="N71" s="9"/>
      <c r="O71" s="9"/>
      <c r="P71" s="9"/>
      <c r="Q71" s="9"/>
      <c r="R71" s="9"/>
      <c r="S71" s="9"/>
    </row>
    <row r="72" spans="1:55" x14ac:dyDescent="0.2">
      <c r="A72" s="34"/>
      <c r="B72" s="34"/>
      <c r="C72" s="34"/>
      <c r="D72" s="9"/>
      <c r="E72" s="9"/>
      <c r="F72" s="9"/>
      <c r="G72" s="9"/>
      <c r="H72" s="9"/>
      <c r="I72" s="9"/>
      <c r="J72" s="9"/>
      <c r="K72" s="9"/>
      <c r="L72" s="9"/>
      <c r="M72" s="9"/>
      <c r="N72" s="9"/>
      <c r="O72" s="9"/>
      <c r="P72" s="9"/>
      <c r="Q72" s="9"/>
      <c r="R72" s="9"/>
      <c r="S72" s="9"/>
    </row>
    <row r="73" spans="1:55" x14ac:dyDescent="0.2">
      <c r="A73" s="34"/>
      <c r="B73" s="34"/>
      <c r="C73" s="34"/>
      <c r="D73" s="9"/>
      <c r="E73" s="9"/>
      <c r="F73" s="9"/>
      <c r="G73" s="9"/>
      <c r="H73" s="9"/>
      <c r="I73" s="9"/>
      <c r="J73" s="9"/>
      <c r="K73" s="9"/>
      <c r="L73" s="9"/>
      <c r="M73" s="9"/>
      <c r="N73" s="9"/>
      <c r="O73" s="9"/>
      <c r="P73" s="9"/>
      <c r="Q73" s="9"/>
      <c r="R73" s="9"/>
      <c r="S73" s="9"/>
    </row>
    <row r="74" spans="1:55" x14ac:dyDescent="0.2">
      <c r="A74" s="34"/>
      <c r="B74" s="34"/>
      <c r="C74" s="34"/>
      <c r="D74" s="9"/>
      <c r="E74" s="9"/>
      <c r="F74" s="9"/>
      <c r="G74" s="9"/>
      <c r="H74" s="9"/>
      <c r="I74" s="9"/>
      <c r="J74" s="9"/>
      <c r="K74" s="9"/>
      <c r="L74" s="9"/>
      <c r="M74" s="9"/>
      <c r="N74" s="9"/>
      <c r="O74" s="9"/>
      <c r="P74" s="9"/>
      <c r="Q74" s="9"/>
      <c r="R74" s="9"/>
      <c r="S74" s="9"/>
    </row>
    <row r="75" spans="1:55" x14ac:dyDescent="0.2">
      <c r="A75" s="34"/>
      <c r="B75" s="34"/>
      <c r="C75" s="34"/>
      <c r="D75" s="9"/>
      <c r="E75" s="9"/>
      <c r="F75" s="9"/>
      <c r="G75" s="9"/>
      <c r="H75" s="9"/>
      <c r="I75" s="9"/>
      <c r="J75" s="9"/>
      <c r="K75" s="9"/>
      <c r="L75" s="9"/>
      <c r="M75" s="9"/>
      <c r="N75" s="9"/>
      <c r="O75" s="9"/>
      <c r="P75" s="9"/>
      <c r="Q75" s="9"/>
      <c r="R75" s="9"/>
      <c r="S75" s="9"/>
    </row>
    <row r="76" spans="1:55" x14ac:dyDescent="0.2">
      <c r="A76" s="34"/>
      <c r="C76" s="34"/>
      <c r="D76" s="9"/>
      <c r="E76" s="9"/>
      <c r="F76" s="9"/>
      <c r="G76" s="9"/>
      <c r="H76" s="9"/>
      <c r="I76" s="9"/>
      <c r="J76" s="9"/>
      <c r="K76" s="9"/>
      <c r="L76" s="9"/>
      <c r="M76" s="9"/>
      <c r="N76" s="9"/>
      <c r="O76" s="9"/>
      <c r="P76" s="9"/>
      <c r="Q76" s="9"/>
      <c r="R76" s="9"/>
      <c r="S76" s="9"/>
    </row>
    <row r="77" spans="1:55" x14ac:dyDescent="0.2">
      <c r="A77" s="34"/>
      <c r="B77" s="34"/>
      <c r="C77" s="34"/>
      <c r="D77" s="9"/>
      <c r="E77" s="9"/>
      <c r="F77" s="9"/>
      <c r="G77" s="9"/>
      <c r="H77" s="9"/>
      <c r="I77" s="9"/>
      <c r="J77" s="9"/>
      <c r="K77" s="9"/>
      <c r="L77" s="9"/>
      <c r="M77" s="9"/>
      <c r="N77" s="9"/>
      <c r="O77" s="9"/>
      <c r="P77" s="9"/>
      <c r="Q77" s="9"/>
      <c r="R77" s="9"/>
      <c r="S77" s="9"/>
    </row>
    <row r="78" spans="1:55" x14ac:dyDescent="0.2">
      <c r="A78" s="34"/>
      <c r="B78" s="34"/>
      <c r="C78" s="34"/>
      <c r="D78" s="9"/>
      <c r="E78" s="9"/>
      <c r="F78" s="9"/>
      <c r="G78" s="9"/>
      <c r="H78" s="9"/>
      <c r="I78" s="9"/>
      <c r="J78" s="9"/>
      <c r="K78" s="9"/>
      <c r="L78" s="9"/>
      <c r="M78" s="9"/>
      <c r="N78" s="9"/>
      <c r="O78" s="9"/>
      <c r="P78" s="9"/>
      <c r="Q78" s="9"/>
      <c r="R78" s="9"/>
      <c r="S78" s="9"/>
    </row>
    <row r="79" spans="1:55" x14ac:dyDescent="0.2">
      <c r="A79" s="34"/>
      <c r="B79" s="34"/>
      <c r="C79" s="34"/>
      <c r="D79" s="9"/>
      <c r="E79" s="9"/>
      <c r="F79" s="9"/>
      <c r="G79" s="9"/>
      <c r="H79" s="9"/>
      <c r="I79" s="9"/>
      <c r="J79" s="9"/>
      <c r="K79" s="9"/>
      <c r="L79" s="9"/>
      <c r="M79" s="9"/>
      <c r="N79" s="9"/>
      <c r="O79" s="9"/>
      <c r="P79" s="9"/>
      <c r="Q79" s="9"/>
      <c r="R79" s="9"/>
      <c r="S79" s="9"/>
    </row>
    <row r="80" spans="1:55" x14ac:dyDescent="0.2">
      <c r="A80" s="34"/>
      <c r="B80" s="34"/>
      <c r="C80" s="34"/>
      <c r="D80" s="9"/>
      <c r="E80" s="9"/>
      <c r="F80" s="9"/>
      <c r="G80" s="9"/>
      <c r="H80" s="9"/>
      <c r="I80" s="9"/>
      <c r="J80" s="9"/>
      <c r="K80" s="9"/>
      <c r="L80" s="9"/>
      <c r="M80" s="9"/>
      <c r="N80" s="9"/>
      <c r="O80" s="9"/>
      <c r="P80" s="9"/>
      <c r="Q80" s="9"/>
      <c r="R80" s="9"/>
      <c r="S80" s="9"/>
    </row>
    <row r="81" spans="1:19" x14ac:dyDescent="0.2">
      <c r="A81" s="34"/>
      <c r="B81" s="34"/>
      <c r="C81" s="34"/>
      <c r="D81" s="9"/>
      <c r="E81" s="9"/>
      <c r="F81" s="9"/>
      <c r="G81" s="9"/>
      <c r="H81" s="9"/>
      <c r="I81" s="9"/>
      <c r="J81" s="9"/>
      <c r="K81" s="9"/>
      <c r="L81" s="9"/>
      <c r="M81" s="9"/>
      <c r="N81" s="9"/>
      <c r="O81" s="9"/>
      <c r="P81" s="9"/>
      <c r="Q81" s="9"/>
      <c r="R81" s="9"/>
      <c r="S81" s="9"/>
    </row>
    <row r="82" spans="1:19" x14ac:dyDescent="0.2">
      <c r="A82" s="34"/>
      <c r="B82" s="34"/>
      <c r="C82" s="34"/>
      <c r="D82" s="9"/>
      <c r="E82" s="9"/>
      <c r="F82" s="9"/>
      <c r="G82" s="9"/>
      <c r="H82" s="9"/>
      <c r="I82" s="9"/>
      <c r="J82" s="9"/>
      <c r="K82" s="9"/>
      <c r="L82" s="9"/>
      <c r="M82" s="9"/>
      <c r="N82" s="9"/>
      <c r="O82" s="9"/>
      <c r="P82" s="9"/>
      <c r="Q82" s="9"/>
      <c r="R82" s="9"/>
      <c r="S82" s="9"/>
    </row>
    <row r="83" spans="1:19" x14ac:dyDescent="0.2">
      <c r="A83" s="34"/>
      <c r="B83" s="34"/>
      <c r="C83" s="34"/>
      <c r="D83" s="9"/>
      <c r="E83" s="9"/>
      <c r="F83" s="9"/>
      <c r="G83" s="9"/>
      <c r="H83" s="9"/>
      <c r="I83" s="9"/>
      <c r="J83" s="9"/>
      <c r="K83" s="9"/>
      <c r="L83" s="9"/>
      <c r="M83" s="9"/>
      <c r="N83" s="9"/>
      <c r="O83" s="9"/>
      <c r="P83" s="9"/>
      <c r="Q83" s="9"/>
      <c r="R83" s="9"/>
      <c r="S83" s="9"/>
    </row>
    <row r="84" spans="1:19" x14ac:dyDescent="0.2">
      <c r="A84" s="34"/>
      <c r="B84" s="34"/>
      <c r="C84" s="34"/>
      <c r="D84" s="9"/>
      <c r="E84" s="9"/>
      <c r="F84" s="9"/>
      <c r="G84" s="9"/>
      <c r="H84" s="9"/>
      <c r="I84" s="9"/>
      <c r="J84" s="9"/>
      <c r="K84" s="9"/>
      <c r="L84" s="9"/>
      <c r="M84" s="9"/>
      <c r="N84" s="9"/>
      <c r="O84" s="9"/>
      <c r="P84" s="9"/>
      <c r="Q84" s="9"/>
      <c r="R84" s="9"/>
      <c r="S84" s="9"/>
    </row>
    <row r="85" spans="1:19" x14ac:dyDescent="0.2">
      <c r="A85" s="34"/>
      <c r="B85" s="34"/>
      <c r="C85" s="34"/>
      <c r="D85" s="9"/>
      <c r="E85" s="9"/>
      <c r="F85" s="9"/>
      <c r="G85" s="9"/>
      <c r="H85" s="9"/>
      <c r="I85" s="9"/>
      <c r="J85" s="9"/>
      <c r="K85" s="9"/>
      <c r="L85" s="9"/>
      <c r="M85" s="9"/>
      <c r="N85" s="9"/>
      <c r="O85" s="9"/>
      <c r="P85" s="9"/>
      <c r="Q85" s="9"/>
      <c r="R85" s="9"/>
      <c r="S85" s="9"/>
    </row>
    <row r="86" spans="1:19" x14ac:dyDescent="0.2">
      <c r="A86" s="34"/>
      <c r="B86" s="34"/>
      <c r="C86" s="34"/>
      <c r="D86" s="9"/>
      <c r="E86" s="9"/>
      <c r="F86" s="9"/>
      <c r="G86" s="9"/>
      <c r="H86" s="9"/>
      <c r="I86" s="9"/>
      <c r="J86" s="9"/>
      <c r="K86" s="9"/>
      <c r="L86" s="9"/>
      <c r="M86" s="9"/>
      <c r="N86" s="9"/>
      <c r="O86" s="9"/>
      <c r="P86" s="9"/>
      <c r="Q86" s="9"/>
      <c r="R86" s="9"/>
      <c r="S86" s="9"/>
    </row>
  </sheetData>
  <sheetProtection password="EADF" sheet="1"/>
  <protectedRanges>
    <protectedRange sqref="D56 F56 I56 L56 O56 U56 X56 AA56 AD56 AJ56 AM56 AP56 AS56 AY56 BB56 D58:D68 E68:F68 H68:I68 K68:L68 Q68:R68 T68:U68 W68:X68 AC68:AD68 AF68:AG68 AI68:AJ68 AO68:AP68 AR68:AS68 AU68:AV68" name="Rango24"/>
    <protectedRange sqref="D50:D54 F50:F54 I50:I54 L50:L54 U50:U54 X50:X54 AD50:AD54 AJ50:AJ54 AP50:AP54 AS50:AS54 BB50:BB54" name="Rango18"/>
    <protectedRange sqref="F47:F48 I47:I48 L47:L48 U47:U48 X47:X48 AD47:AD48 AJ47:AJ48 AP47:AP48 AS47:AS48 BB47:BB48" name="Rango17"/>
    <protectedRange sqref="D42 D44 F42 F44 I42 I44 L42 L44 O42 U42 U44 X42 X44 AD42 AD44 AJ42 AJ44 AP42 AP44 AS42 AS44 BB42 BB44" name="Rango16"/>
    <protectedRange sqref="F39:F40 I39:I40 L39:L40 U39:U40 X39:X40 AD39:AD40 AJ39:AJ40 AP39:AP40 AS39:AS40 BB39:BB40" name="Rango15"/>
    <protectedRange sqref="D35:D36 F35:F36 I35:I36 L35:L36 U35:U36 X35:X36 AD35:AD36 AJ35:AJ36 AP35:AP36 AS35:AS36 BB35:BB36 D39:D40 D47:D48" name="Rango14"/>
    <protectedRange sqref="F33 I33 L33 U33 X33 AD33 AJ33 AP33 AS33 BB33" name="Rango12"/>
    <protectedRange sqref="F27:F30 I27:I30 L27:L30 U27:U30 X27:X30 AD27:AD30 AJ27:AJ30 AP27:AP30 AS27:AS30 BB27:BB30" name="Rango11"/>
    <protectedRange sqref="F23:F24 I23:I24 L23:L24 U23:U24 X23:X24 AD23:AD24 AJ23:AJ24 AP23:AP24 AS23:AS24 BB23:BB24" name="Rango10"/>
    <protectedRange sqref="F14:F20 BB14:BB20 AS14:AS20 AP14:AP20 AJ14:AJ20 AD14:AD20 X14:X20 U14:U20 L14:L20 I14:I20" name="Rango9"/>
    <protectedRange sqref="AD9:AD11 AS9:AS11" name="Rango8"/>
    <protectedRange sqref="L9:L11 AP9:AP11" name="Rango7"/>
    <protectedRange sqref="I9:I11 X9:X11 BB9:BB11" name="Rango6"/>
    <protectedRange sqref="F9:F11 U9:U11 AJ9:AJ11 AY9:AY11 AM9:AM11 AA9:AA11 O9:O11 AY23:AY24 AY27:AY30 AY33 AY35:AY36 AY39:AY40 AY42 AY44 AY47:AY48 AY14:AY20 AY50:AY54 AM35:AM36 O14:O20 O23:O24 O27:O30 O33 AM39:AM40 O35:O36 O39:O40 AM44 O44 O47:O48 O50:O54 AA14:AA20 AA23:AA24 AA27:AA30 AA33 AM42 AA35:AA36 AA39:AA40 AA42 AM47:AM48 AA44 AA47:AA48 AA50:AA54 AM14:AM20 AM23:AM24 AM27:AM30 AM33 AM50:AM54" name="Rango5"/>
    <protectedRange sqref="D9:D11 D23:D24 D27:D30 D33 D14:D20" name="Rango4"/>
  </protectedRanges>
  <mergeCells count="30">
    <mergeCell ref="A3:P3"/>
    <mergeCell ref="AR6:AT6"/>
    <mergeCell ref="AU6:AW6"/>
    <mergeCell ref="AX6:AZ6"/>
    <mergeCell ref="K6:M6"/>
    <mergeCell ref="N6:P6"/>
    <mergeCell ref="Q6:S6"/>
    <mergeCell ref="T6:V6"/>
    <mergeCell ref="W6:Y6"/>
    <mergeCell ref="AL6:AN6"/>
    <mergeCell ref="AO6:AQ6"/>
    <mergeCell ref="H6:J6"/>
    <mergeCell ref="A8:A33"/>
    <mergeCell ref="A50:A54"/>
    <mergeCell ref="A55:A68"/>
    <mergeCell ref="A1:S1"/>
    <mergeCell ref="A2:S2"/>
    <mergeCell ref="A4:S4"/>
    <mergeCell ref="A5:A7"/>
    <mergeCell ref="B5:B7"/>
    <mergeCell ref="C5:C7"/>
    <mergeCell ref="D5:D7"/>
    <mergeCell ref="E5:BC5"/>
    <mergeCell ref="E6:G6"/>
    <mergeCell ref="BA6:BC6"/>
    <mergeCell ref="A34:A49"/>
    <mergeCell ref="Z6:AB6"/>
    <mergeCell ref="AC6:AE6"/>
    <mergeCell ref="AF6:AH6"/>
    <mergeCell ref="AI6:AK6"/>
  </mergeCells>
  <phoneticPr fontId="60" type="noConversion"/>
  <pageMargins left="0.23622047244094491" right="0.23622047244094491" top="0.35433070866141736" bottom="0.35433070866141736" header="0.23622047244094491" footer="0.23622047244094491"/>
  <pageSetup scale="45" orientation="landscape" r:id="rId1"/>
  <rowBreaks count="1" manualBreakCount="1">
    <brk id="49" max="16383" man="1"/>
  </rowBreaks>
  <colBreaks count="1" manualBreakCount="1">
    <brk id="16"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4"/>
  <sheetViews>
    <sheetView showGridLines="0" topLeftCell="D1" zoomScale="77" zoomScaleNormal="77" zoomScaleSheetLayoutView="75" workbookViewId="0">
      <selection activeCell="E35" sqref="E35"/>
    </sheetView>
  </sheetViews>
  <sheetFormatPr baseColWidth="10" defaultRowHeight="12.75" x14ac:dyDescent="0.25"/>
  <cols>
    <col min="1" max="1" width="10.5703125" style="196" customWidth="1"/>
    <col min="2" max="2" width="39.5703125" style="196" customWidth="1"/>
    <col min="3" max="3" width="19.42578125" style="196" customWidth="1"/>
    <col min="4" max="4" width="25.28515625" style="196" customWidth="1"/>
    <col min="5" max="5" width="11.7109375" style="196" customWidth="1"/>
    <col min="6" max="6" width="9" style="196" customWidth="1"/>
    <col min="7" max="7" width="10.140625" style="196" customWidth="1"/>
    <col min="8" max="19" width="7.7109375" style="196" customWidth="1"/>
    <col min="20" max="20" width="41.28515625" style="196" customWidth="1"/>
    <col min="21" max="16384" width="11.42578125" style="196"/>
  </cols>
  <sheetData>
    <row r="1" spans="1:20" s="194" customFormat="1" ht="24.75" customHeight="1" x14ac:dyDescent="0.25">
      <c r="A1" s="1254" t="s">
        <v>674</v>
      </c>
      <c r="B1" s="1254"/>
      <c r="C1" s="1254"/>
      <c r="D1" s="1254"/>
      <c r="E1" s="1254"/>
      <c r="F1" s="1254"/>
      <c r="G1" s="1254"/>
      <c r="H1" s="1254"/>
      <c r="I1" s="1254"/>
      <c r="J1" s="1254"/>
      <c r="K1" s="1254"/>
      <c r="L1" s="1254"/>
      <c r="M1" s="1254"/>
      <c r="N1" s="1254"/>
      <c r="O1" s="1254"/>
      <c r="P1" s="1254"/>
      <c r="Q1" s="1254"/>
      <c r="R1" s="1254"/>
      <c r="S1" s="1255"/>
      <c r="T1" s="1255"/>
    </row>
    <row r="2" spans="1:20" s="194" customFormat="1" ht="20.25" customHeight="1" x14ac:dyDescent="0.25">
      <c r="A2" s="1254" t="s">
        <v>518</v>
      </c>
      <c r="B2" s="1254"/>
      <c r="C2" s="1254"/>
      <c r="D2" s="1254"/>
      <c r="E2" s="1254"/>
      <c r="F2" s="1254"/>
      <c r="G2" s="1254"/>
      <c r="H2" s="1254"/>
      <c r="I2" s="1254"/>
      <c r="J2" s="1254"/>
      <c r="K2" s="1254"/>
      <c r="L2" s="1254"/>
      <c r="M2" s="1254"/>
      <c r="N2" s="1254"/>
      <c r="O2" s="1254"/>
      <c r="P2" s="1254"/>
      <c r="Q2" s="1254"/>
      <c r="R2" s="1254"/>
      <c r="S2" s="1255"/>
      <c r="T2" s="1255"/>
    </row>
    <row r="3" spans="1:20" s="194" customFormat="1" ht="24" customHeight="1" x14ac:dyDescent="0.25">
      <c r="A3" s="1254" t="s">
        <v>407</v>
      </c>
      <c r="B3" s="1254"/>
      <c r="C3" s="1254"/>
      <c r="D3" s="1254"/>
      <c r="E3" s="1254"/>
      <c r="F3" s="1254"/>
      <c r="G3" s="1254"/>
      <c r="H3" s="1254"/>
      <c r="I3" s="1254"/>
      <c r="J3" s="1254"/>
      <c r="K3" s="1254"/>
      <c r="L3" s="1254"/>
      <c r="M3" s="1254"/>
      <c r="N3" s="1254"/>
      <c r="O3" s="1254"/>
      <c r="P3" s="1254"/>
      <c r="Q3" s="1254"/>
      <c r="R3" s="1254"/>
      <c r="S3" s="1255"/>
      <c r="T3" s="1255"/>
    </row>
    <row r="4" spans="1:20" s="194" customFormat="1" ht="6" customHeight="1" x14ac:dyDescent="0.25">
      <c r="B4" s="195"/>
      <c r="C4" s="195"/>
      <c r="D4" s="195"/>
      <c r="E4" s="195"/>
      <c r="F4" s="195"/>
      <c r="G4" s="195"/>
      <c r="H4" s="195"/>
      <c r="I4" s="195"/>
      <c r="J4" s="195"/>
    </row>
    <row r="5" spans="1:20" ht="18" customHeight="1" x14ac:dyDescent="0.25">
      <c r="A5" s="1254" t="s">
        <v>684</v>
      </c>
      <c r="B5" s="1254"/>
      <c r="C5" s="1254"/>
      <c r="D5" s="1254"/>
      <c r="E5" s="1254"/>
      <c r="F5" s="1254"/>
      <c r="G5" s="1254"/>
      <c r="H5" s="1254"/>
      <c r="I5" s="1254"/>
      <c r="J5" s="1254"/>
      <c r="K5" s="1254"/>
      <c r="L5" s="1254"/>
      <c r="M5" s="1254"/>
      <c r="N5" s="1254"/>
      <c r="O5" s="1254"/>
      <c r="P5" s="1254"/>
      <c r="Q5" s="1254"/>
      <c r="R5" s="1254"/>
      <c r="S5" s="1255"/>
      <c r="T5" s="1255"/>
    </row>
    <row r="6" spans="1:20" ht="13.5" thickBot="1" x14ac:dyDescent="0.3"/>
    <row r="7" spans="1:20" ht="21" customHeight="1" x14ac:dyDescent="0.25">
      <c r="A7" s="1251" t="s">
        <v>456</v>
      </c>
      <c r="B7" s="1249"/>
      <c r="C7" s="1249" t="s">
        <v>189</v>
      </c>
      <c r="D7" s="1249" t="s">
        <v>519</v>
      </c>
      <c r="E7" s="1249" t="s">
        <v>520</v>
      </c>
      <c r="F7" s="1261" t="s">
        <v>521</v>
      </c>
      <c r="G7" s="1262"/>
      <c r="H7" s="1256" t="s">
        <v>522</v>
      </c>
      <c r="I7" s="1257"/>
      <c r="J7" s="1258"/>
      <c r="K7" s="1256" t="s">
        <v>523</v>
      </c>
      <c r="L7" s="1257"/>
      <c r="M7" s="1258"/>
      <c r="N7" s="1256" t="s">
        <v>524</v>
      </c>
      <c r="O7" s="1257"/>
      <c r="P7" s="1258"/>
      <c r="Q7" s="1256" t="s">
        <v>525</v>
      </c>
      <c r="R7" s="1257"/>
      <c r="S7" s="1258"/>
      <c r="T7" s="1259" t="s">
        <v>526</v>
      </c>
    </row>
    <row r="8" spans="1:20" ht="29.25" customHeight="1" x14ac:dyDescent="0.25">
      <c r="A8" s="1252"/>
      <c r="B8" s="1250"/>
      <c r="C8" s="1250"/>
      <c r="D8" s="1253"/>
      <c r="E8" s="1250"/>
      <c r="F8" s="304" t="s">
        <v>685</v>
      </c>
      <c r="G8" s="304" t="s">
        <v>60</v>
      </c>
      <c r="H8" s="197" t="s">
        <v>362</v>
      </c>
      <c r="I8" s="197" t="s">
        <v>363</v>
      </c>
      <c r="J8" s="197" t="s">
        <v>364</v>
      </c>
      <c r="K8" s="197" t="s">
        <v>362</v>
      </c>
      <c r="L8" s="197" t="s">
        <v>363</v>
      </c>
      <c r="M8" s="197" t="s">
        <v>364</v>
      </c>
      <c r="N8" s="197" t="s">
        <v>362</v>
      </c>
      <c r="O8" s="197" t="s">
        <v>363</v>
      </c>
      <c r="P8" s="197" t="s">
        <v>364</v>
      </c>
      <c r="Q8" s="197" t="s">
        <v>362</v>
      </c>
      <c r="R8" s="197" t="s">
        <v>363</v>
      </c>
      <c r="S8" s="197" t="s">
        <v>364</v>
      </c>
      <c r="T8" s="1260"/>
    </row>
    <row r="9" spans="1:20" s="200" customFormat="1" ht="37.5" customHeight="1" x14ac:dyDescent="0.25">
      <c r="A9" s="198">
        <v>1</v>
      </c>
      <c r="B9" s="1246" t="s">
        <v>819</v>
      </c>
      <c r="C9" s="1247"/>
      <c r="D9" s="1248"/>
      <c r="E9" s="495"/>
      <c r="F9" s="495"/>
      <c r="G9" s="495"/>
      <c r="H9" s="495"/>
      <c r="I9" s="495"/>
      <c r="J9" s="199"/>
      <c r="K9" s="495"/>
      <c r="L9" s="495"/>
      <c r="M9" s="199"/>
      <c r="N9" s="495"/>
      <c r="O9" s="495"/>
      <c r="P9" s="199"/>
      <c r="Q9" s="495"/>
      <c r="R9" s="495"/>
      <c r="S9" s="199"/>
      <c r="T9" s="511"/>
    </row>
    <row r="10" spans="1:20" ht="45.75" customHeight="1" x14ac:dyDescent="0.25">
      <c r="A10" s="201">
        <v>1.1000000000000001</v>
      </c>
      <c r="B10" s="496" t="s">
        <v>820</v>
      </c>
      <c r="C10" s="497"/>
      <c r="D10" s="497"/>
      <c r="E10" s="498"/>
      <c r="F10" s="498"/>
      <c r="G10" s="498"/>
      <c r="H10" s="498"/>
      <c r="I10" s="498"/>
      <c r="J10" s="202" t="e">
        <f>I10/H10</f>
        <v>#DIV/0!</v>
      </c>
      <c r="K10" s="498"/>
      <c r="L10" s="498"/>
      <c r="M10" s="202" t="e">
        <f>L10/K10</f>
        <v>#DIV/0!</v>
      </c>
      <c r="N10" s="498"/>
      <c r="O10" s="498"/>
      <c r="P10" s="202" t="e">
        <f>O10/N10</f>
        <v>#DIV/0!</v>
      </c>
      <c r="Q10" s="510"/>
      <c r="R10" s="510"/>
      <c r="S10" s="202" t="e">
        <f>R10/Q10</f>
        <v>#DIV/0!</v>
      </c>
      <c r="T10" s="512"/>
    </row>
    <row r="11" spans="1:20" ht="67.5" x14ac:dyDescent="0.2">
      <c r="A11" s="203" t="s">
        <v>527</v>
      </c>
      <c r="B11" s="1089" t="s">
        <v>827</v>
      </c>
      <c r="C11" s="1089" t="s">
        <v>835</v>
      </c>
      <c r="D11" s="501" t="s">
        <v>837</v>
      </c>
      <c r="E11" s="501" t="s">
        <v>857</v>
      </c>
      <c r="F11" s="501">
        <v>1</v>
      </c>
      <c r="G11" s="501">
        <v>5</v>
      </c>
      <c r="H11" s="501">
        <v>1</v>
      </c>
      <c r="I11" s="501">
        <v>0</v>
      </c>
      <c r="J11" s="204">
        <f t="shared" ref="J11:J54" si="0">I11/H11</f>
        <v>0</v>
      </c>
      <c r="K11" s="501">
        <v>1</v>
      </c>
      <c r="L11" s="501">
        <v>0</v>
      </c>
      <c r="M11" s="204">
        <f t="shared" ref="M11:M54" si="1">L11/K11</f>
        <v>0</v>
      </c>
      <c r="N11" s="501">
        <v>1</v>
      </c>
      <c r="O11" s="501"/>
      <c r="P11" s="204">
        <f t="shared" ref="P11:P54" si="2">O11/N11</f>
        <v>0</v>
      </c>
      <c r="Q11" s="501">
        <v>1</v>
      </c>
      <c r="R11" s="501"/>
      <c r="S11" s="204">
        <f t="shared" ref="S11:S54" si="3">R11/Q11</f>
        <v>0</v>
      </c>
      <c r="T11" s="513" t="s">
        <v>865</v>
      </c>
    </row>
    <row r="12" spans="1:20" ht="33.75" x14ac:dyDescent="0.2">
      <c r="A12" s="203" t="s">
        <v>528</v>
      </c>
      <c r="B12" s="1089" t="s">
        <v>828</v>
      </c>
      <c r="C12" s="1089" t="s">
        <v>836</v>
      </c>
      <c r="D12" s="501" t="s">
        <v>838</v>
      </c>
      <c r="E12" s="501" t="s">
        <v>857</v>
      </c>
      <c r="F12" s="501">
        <v>1</v>
      </c>
      <c r="G12" s="501">
        <v>1</v>
      </c>
      <c r="H12" s="501">
        <v>1</v>
      </c>
      <c r="I12" s="501">
        <v>0</v>
      </c>
      <c r="J12" s="204">
        <f t="shared" si="0"/>
        <v>0</v>
      </c>
      <c r="K12" s="501">
        <v>1</v>
      </c>
      <c r="L12" s="501">
        <v>0</v>
      </c>
      <c r="M12" s="204">
        <f t="shared" si="1"/>
        <v>0</v>
      </c>
      <c r="N12" s="501">
        <v>1</v>
      </c>
      <c r="O12" s="501"/>
      <c r="P12" s="204">
        <f t="shared" si="2"/>
        <v>0</v>
      </c>
      <c r="Q12" s="501">
        <v>1</v>
      </c>
      <c r="R12" s="501"/>
      <c r="S12" s="204">
        <f t="shared" si="3"/>
        <v>0</v>
      </c>
      <c r="T12" s="513"/>
    </row>
    <row r="13" spans="1:20" x14ac:dyDescent="0.25">
      <c r="A13" s="203" t="s">
        <v>529</v>
      </c>
      <c r="B13" s="499"/>
      <c r="C13" s="500"/>
      <c r="D13" s="501"/>
      <c r="E13" s="501"/>
      <c r="F13" s="501"/>
      <c r="G13" s="501"/>
      <c r="H13" s="501"/>
      <c r="I13" s="501"/>
      <c r="J13" s="204" t="e">
        <f t="shared" si="0"/>
        <v>#DIV/0!</v>
      </c>
      <c r="K13" s="501"/>
      <c r="L13" s="501"/>
      <c r="M13" s="204" t="e">
        <f t="shared" si="1"/>
        <v>#DIV/0!</v>
      </c>
      <c r="N13" s="501"/>
      <c r="O13" s="501"/>
      <c r="P13" s="204" t="e">
        <f t="shared" si="2"/>
        <v>#DIV/0!</v>
      </c>
      <c r="Q13" s="501"/>
      <c r="R13" s="501"/>
      <c r="S13" s="204" t="e">
        <f t="shared" si="3"/>
        <v>#DIV/0!</v>
      </c>
      <c r="T13" s="513"/>
    </row>
    <row r="14" spans="1:20" x14ac:dyDescent="0.25">
      <c r="A14" s="203" t="s">
        <v>530</v>
      </c>
      <c r="B14" s="499"/>
      <c r="C14" s="499"/>
      <c r="D14" s="501"/>
      <c r="E14" s="501"/>
      <c r="F14" s="501"/>
      <c r="G14" s="501"/>
      <c r="H14" s="501"/>
      <c r="I14" s="501"/>
      <c r="J14" s="204" t="e">
        <f t="shared" si="0"/>
        <v>#DIV/0!</v>
      </c>
      <c r="K14" s="501"/>
      <c r="L14" s="501"/>
      <c r="M14" s="204" t="e">
        <f t="shared" si="1"/>
        <v>#DIV/0!</v>
      </c>
      <c r="N14" s="501"/>
      <c r="O14" s="501"/>
      <c r="P14" s="204" t="e">
        <f t="shared" si="2"/>
        <v>#DIV/0!</v>
      </c>
      <c r="Q14" s="501"/>
      <c r="R14" s="501"/>
      <c r="S14" s="204" t="e">
        <f t="shared" si="3"/>
        <v>#DIV/0!</v>
      </c>
      <c r="T14" s="513"/>
    </row>
    <row r="15" spans="1:20" ht="54" customHeight="1" x14ac:dyDescent="0.25">
      <c r="A15" s="201">
        <v>1.2</v>
      </c>
      <c r="B15" s="496" t="s">
        <v>531</v>
      </c>
      <c r="C15" s="497"/>
      <c r="D15" s="497"/>
      <c r="E15" s="498"/>
      <c r="F15" s="498"/>
      <c r="G15" s="498"/>
      <c r="H15" s="498"/>
      <c r="I15" s="498"/>
      <c r="J15" s="202" t="e">
        <f t="shared" si="0"/>
        <v>#DIV/0!</v>
      </c>
      <c r="K15" s="498"/>
      <c r="L15" s="498"/>
      <c r="M15" s="202" t="e">
        <f t="shared" si="1"/>
        <v>#DIV/0!</v>
      </c>
      <c r="N15" s="498"/>
      <c r="O15" s="498"/>
      <c r="P15" s="202" t="e">
        <f t="shared" si="2"/>
        <v>#DIV/0!</v>
      </c>
      <c r="Q15" s="498"/>
      <c r="R15" s="498"/>
      <c r="S15" s="202" t="e">
        <f t="shared" si="3"/>
        <v>#DIV/0!</v>
      </c>
      <c r="T15" s="514"/>
    </row>
    <row r="16" spans="1:20" x14ac:dyDescent="0.25">
      <c r="A16" s="203" t="s">
        <v>532</v>
      </c>
      <c r="B16" s="499"/>
      <c r="C16" s="499"/>
      <c r="D16" s="501"/>
      <c r="E16" s="501"/>
      <c r="F16" s="501"/>
      <c r="G16" s="501"/>
      <c r="H16" s="501"/>
      <c r="I16" s="501"/>
      <c r="J16" s="204" t="e">
        <f t="shared" si="0"/>
        <v>#DIV/0!</v>
      </c>
      <c r="K16" s="501"/>
      <c r="L16" s="501"/>
      <c r="M16" s="204" t="e">
        <f t="shared" si="1"/>
        <v>#DIV/0!</v>
      </c>
      <c r="N16" s="501"/>
      <c r="O16" s="501"/>
      <c r="P16" s="204" t="e">
        <f t="shared" si="2"/>
        <v>#DIV/0!</v>
      </c>
      <c r="Q16" s="501"/>
      <c r="R16" s="501"/>
      <c r="S16" s="204" t="e">
        <f t="shared" si="3"/>
        <v>#DIV/0!</v>
      </c>
      <c r="T16" s="513"/>
    </row>
    <row r="17" spans="1:20" x14ac:dyDescent="0.25">
      <c r="A17" s="203" t="s">
        <v>533</v>
      </c>
      <c r="B17" s="499"/>
      <c r="C17" s="499"/>
      <c r="D17" s="501"/>
      <c r="E17" s="501"/>
      <c r="F17" s="501"/>
      <c r="G17" s="501"/>
      <c r="H17" s="501"/>
      <c r="I17" s="501"/>
      <c r="J17" s="204" t="e">
        <f t="shared" si="0"/>
        <v>#DIV/0!</v>
      </c>
      <c r="K17" s="501"/>
      <c r="L17" s="501"/>
      <c r="M17" s="204" t="e">
        <f t="shared" si="1"/>
        <v>#DIV/0!</v>
      </c>
      <c r="N17" s="501"/>
      <c r="O17" s="501"/>
      <c r="P17" s="204" t="e">
        <f t="shared" si="2"/>
        <v>#DIV/0!</v>
      </c>
      <c r="Q17" s="501"/>
      <c r="R17" s="501"/>
      <c r="S17" s="204" t="e">
        <f t="shared" si="3"/>
        <v>#DIV/0!</v>
      </c>
      <c r="T17" s="513"/>
    </row>
    <row r="18" spans="1:20" x14ac:dyDescent="0.25">
      <c r="A18" s="203" t="s">
        <v>534</v>
      </c>
      <c r="B18" s="499"/>
      <c r="C18" s="499"/>
      <c r="D18" s="501"/>
      <c r="E18" s="501"/>
      <c r="F18" s="501"/>
      <c r="G18" s="501"/>
      <c r="H18" s="501"/>
      <c r="I18" s="501"/>
      <c r="J18" s="204" t="e">
        <f t="shared" si="0"/>
        <v>#DIV/0!</v>
      </c>
      <c r="K18" s="501"/>
      <c r="L18" s="501"/>
      <c r="M18" s="204" t="e">
        <f t="shared" si="1"/>
        <v>#DIV/0!</v>
      </c>
      <c r="N18" s="501"/>
      <c r="O18" s="501"/>
      <c r="P18" s="204" t="e">
        <f t="shared" si="2"/>
        <v>#DIV/0!</v>
      </c>
      <c r="Q18" s="501"/>
      <c r="R18" s="501"/>
      <c r="S18" s="204" t="e">
        <f t="shared" si="3"/>
        <v>#DIV/0!</v>
      </c>
      <c r="T18" s="513"/>
    </row>
    <row r="19" spans="1:20" x14ac:dyDescent="0.25">
      <c r="A19" s="203" t="s">
        <v>535</v>
      </c>
      <c r="B19" s="499"/>
      <c r="C19" s="499"/>
      <c r="D19" s="501"/>
      <c r="E19" s="501"/>
      <c r="F19" s="501"/>
      <c r="G19" s="501"/>
      <c r="H19" s="501"/>
      <c r="I19" s="501"/>
      <c r="J19" s="204" t="e">
        <f t="shared" si="0"/>
        <v>#DIV/0!</v>
      </c>
      <c r="K19" s="501"/>
      <c r="L19" s="501"/>
      <c r="M19" s="204" t="e">
        <f t="shared" si="1"/>
        <v>#DIV/0!</v>
      </c>
      <c r="N19" s="501"/>
      <c r="O19" s="501"/>
      <c r="P19" s="204" t="e">
        <f t="shared" si="2"/>
        <v>#DIV/0!</v>
      </c>
      <c r="Q19" s="501"/>
      <c r="R19" s="501"/>
      <c r="S19" s="204" t="e">
        <f t="shared" si="3"/>
        <v>#DIV/0!</v>
      </c>
      <c r="T19" s="513"/>
    </row>
    <row r="20" spans="1:20" s="200" customFormat="1" ht="39.75" customHeight="1" x14ac:dyDescent="0.25">
      <c r="A20" s="198">
        <v>2</v>
      </c>
      <c r="B20" s="1246" t="s">
        <v>819</v>
      </c>
      <c r="C20" s="1247"/>
      <c r="D20" s="1248"/>
      <c r="E20" s="502"/>
      <c r="F20" s="502"/>
      <c r="G20" s="502"/>
      <c r="H20" s="502"/>
      <c r="I20" s="502"/>
      <c r="J20" s="205"/>
      <c r="K20" s="502"/>
      <c r="L20" s="502"/>
      <c r="M20" s="205"/>
      <c r="N20" s="502"/>
      <c r="O20" s="502"/>
      <c r="P20" s="205"/>
      <c r="Q20" s="502"/>
      <c r="R20" s="502"/>
      <c r="S20" s="205"/>
      <c r="T20" s="511"/>
    </row>
    <row r="21" spans="1:20" s="200" customFormat="1" ht="54" customHeight="1" x14ac:dyDescent="0.25">
      <c r="A21" s="201">
        <v>2.1</v>
      </c>
      <c r="B21" s="496" t="s">
        <v>821</v>
      </c>
      <c r="C21" s="497"/>
      <c r="D21" s="497"/>
      <c r="E21" s="503"/>
      <c r="F21" s="503"/>
      <c r="G21" s="503"/>
      <c r="H21" s="503"/>
      <c r="I21" s="503"/>
      <c r="J21" s="202" t="e">
        <f t="shared" si="0"/>
        <v>#DIV/0!</v>
      </c>
      <c r="K21" s="503"/>
      <c r="L21" s="503"/>
      <c r="M21" s="202" t="e">
        <f t="shared" si="1"/>
        <v>#DIV/0!</v>
      </c>
      <c r="N21" s="503"/>
      <c r="O21" s="503"/>
      <c r="P21" s="202" t="e">
        <f t="shared" si="2"/>
        <v>#DIV/0!</v>
      </c>
      <c r="Q21" s="503"/>
      <c r="R21" s="503"/>
      <c r="S21" s="202" t="e">
        <f t="shared" si="3"/>
        <v>#DIV/0!</v>
      </c>
      <c r="T21" s="515"/>
    </row>
    <row r="22" spans="1:20" s="200" customFormat="1" ht="56.25" x14ac:dyDescent="0.2">
      <c r="A22" s="203" t="s">
        <v>537</v>
      </c>
      <c r="B22" s="1088" t="s">
        <v>833</v>
      </c>
      <c r="C22" s="1089" t="s">
        <v>839</v>
      </c>
      <c r="D22" s="501" t="s">
        <v>840</v>
      </c>
      <c r="E22" s="501" t="s">
        <v>866</v>
      </c>
      <c r="F22" s="501">
        <v>1</v>
      </c>
      <c r="G22" s="501">
        <v>60</v>
      </c>
      <c r="H22" s="501">
        <v>15</v>
      </c>
      <c r="I22" s="501">
        <v>30</v>
      </c>
      <c r="J22" s="204">
        <f t="shared" si="0"/>
        <v>2</v>
      </c>
      <c r="K22" s="501">
        <v>15</v>
      </c>
      <c r="L22" s="501">
        <v>20</v>
      </c>
      <c r="M22" s="204">
        <f t="shared" si="1"/>
        <v>1.3333333333333333</v>
      </c>
      <c r="N22" s="501">
        <v>15</v>
      </c>
      <c r="O22" s="501"/>
      <c r="P22" s="204">
        <f t="shared" si="2"/>
        <v>0</v>
      </c>
      <c r="Q22" s="501">
        <v>15</v>
      </c>
      <c r="R22" s="501"/>
      <c r="S22" s="204">
        <f t="shared" si="3"/>
        <v>0</v>
      </c>
      <c r="T22" s="513" t="s">
        <v>867</v>
      </c>
    </row>
    <row r="23" spans="1:20" s="200" customFormat="1" x14ac:dyDescent="0.2">
      <c r="A23" s="203" t="s">
        <v>538</v>
      </c>
      <c r="B23" s="504"/>
      <c r="C23" s="504"/>
      <c r="D23" s="501"/>
      <c r="E23" s="501"/>
      <c r="F23" s="501"/>
      <c r="G23" s="501"/>
      <c r="H23" s="501"/>
      <c r="I23" s="501"/>
      <c r="J23" s="204" t="e">
        <f t="shared" si="0"/>
        <v>#DIV/0!</v>
      </c>
      <c r="K23" s="501"/>
      <c r="L23" s="501"/>
      <c r="M23" s="204" t="e">
        <f t="shared" si="1"/>
        <v>#DIV/0!</v>
      </c>
      <c r="N23" s="501"/>
      <c r="O23" s="501"/>
      <c r="P23" s="204" t="e">
        <f t="shared" si="2"/>
        <v>#DIV/0!</v>
      </c>
      <c r="Q23" s="501"/>
      <c r="R23" s="501"/>
      <c r="S23" s="204" t="e">
        <f t="shared" si="3"/>
        <v>#DIV/0!</v>
      </c>
      <c r="T23" s="513"/>
    </row>
    <row r="24" spans="1:20" s="200" customFormat="1" x14ac:dyDescent="0.2">
      <c r="A24" s="203" t="s">
        <v>539</v>
      </c>
      <c r="B24" s="504"/>
      <c r="C24" s="504"/>
      <c r="D24" s="501"/>
      <c r="E24" s="501"/>
      <c r="F24" s="501"/>
      <c r="G24" s="501"/>
      <c r="H24" s="501"/>
      <c r="I24" s="501"/>
      <c r="J24" s="204" t="e">
        <f t="shared" si="0"/>
        <v>#DIV/0!</v>
      </c>
      <c r="K24" s="501"/>
      <c r="L24" s="501"/>
      <c r="M24" s="204" t="e">
        <f t="shared" si="1"/>
        <v>#DIV/0!</v>
      </c>
      <c r="N24" s="501"/>
      <c r="O24" s="501"/>
      <c r="P24" s="204" t="e">
        <f t="shared" si="2"/>
        <v>#DIV/0!</v>
      </c>
      <c r="Q24" s="501"/>
      <c r="R24" s="501"/>
      <c r="S24" s="204" t="e">
        <f t="shared" si="3"/>
        <v>#DIV/0!</v>
      </c>
      <c r="T24" s="513"/>
    </row>
    <row r="25" spans="1:20" s="200" customFormat="1" x14ac:dyDescent="0.25">
      <c r="A25" s="203" t="s">
        <v>540</v>
      </c>
      <c r="B25" s="505"/>
      <c r="C25" s="505"/>
      <c r="D25" s="501"/>
      <c r="E25" s="501"/>
      <c r="F25" s="501"/>
      <c r="G25" s="501"/>
      <c r="H25" s="501"/>
      <c r="I25" s="501"/>
      <c r="J25" s="204" t="e">
        <f t="shared" si="0"/>
        <v>#DIV/0!</v>
      </c>
      <c r="K25" s="501"/>
      <c r="L25" s="501"/>
      <c r="M25" s="204" t="e">
        <f t="shared" si="1"/>
        <v>#DIV/0!</v>
      </c>
      <c r="N25" s="501"/>
      <c r="O25" s="501"/>
      <c r="P25" s="204" t="e">
        <f t="shared" si="2"/>
        <v>#DIV/0!</v>
      </c>
      <c r="Q25" s="501"/>
      <c r="R25" s="501"/>
      <c r="S25" s="204" t="e">
        <f t="shared" si="3"/>
        <v>#DIV/0!</v>
      </c>
      <c r="T25" s="513"/>
    </row>
    <row r="26" spans="1:20" s="200" customFormat="1" ht="52.5" customHeight="1" x14ac:dyDescent="0.25">
      <c r="A26" s="206">
        <v>2.2000000000000002</v>
      </c>
      <c r="B26" s="496" t="s">
        <v>822</v>
      </c>
      <c r="C26" s="497"/>
      <c r="D26" s="497"/>
      <c r="E26" s="503"/>
      <c r="F26" s="503"/>
      <c r="G26" s="503"/>
      <c r="H26" s="503"/>
      <c r="I26" s="503"/>
      <c r="J26" s="202" t="e">
        <f t="shared" si="0"/>
        <v>#DIV/0!</v>
      </c>
      <c r="K26" s="503"/>
      <c r="L26" s="503"/>
      <c r="M26" s="202" t="e">
        <f t="shared" si="1"/>
        <v>#DIV/0!</v>
      </c>
      <c r="N26" s="503"/>
      <c r="O26" s="503"/>
      <c r="P26" s="202" t="e">
        <f t="shared" si="2"/>
        <v>#DIV/0!</v>
      </c>
      <c r="Q26" s="503"/>
      <c r="R26" s="503"/>
      <c r="S26" s="202" t="e">
        <f t="shared" si="3"/>
        <v>#DIV/0!</v>
      </c>
      <c r="T26" s="515"/>
    </row>
    <row r="27" spans="1:20" s="200" customFormat="1" ht="56.25" x14ac:dyDescent="0.2">
      <c r="A27" s="203" t="s">
        <v>541</v>
      </c>
      <c r="B27" s="1089" t="s">
        <v>824</v>
      </c>
      <c r="C27" s="1089" t="s">
        <v>841</v>
      </c>
      <c r="D27" s="501" t="s">
        <v>844</v>
      </c>
      <c r="E27" s="501" t="s">
        <v>858</v>
      </c>
      <c r="F27" s="501">
        <v>100</v>
      </c>
      <c r="G27" s="501">
        <v>100</v>
      </c>
      <c r="H27" s="501">
        <v>100</v>
      </c>
      <c r="I27" s="501">
        <v>100</v>
      </c>
      <c r="J27" s="204">
        <f t="shared" si="0"/>
        <v>1</v>
      </c>
      <c r="K27" s="501">
        <v>100</v>
      </c>
      <c r="L27" s="501"/>
      <c r="M27" s="204">
        <f t="shared" si="1"/>
        <v>0</v>
      </c>
      <c r="N27" s="501">
        <v>100</v>
      </c>
      <c r="O27" s="501"/>
      <c r="P27" s="204">
        <f t="shared" si="2"/>
        <v>0</v>
      </c>
      <c r="Q27" s="501">
        <v>100</v>
      </c>
      <c r="R27" s="501"/>
      <c r="S27" s="204">
        <f t="shared" si="3"/>
        <v>0</v>
      </c>
      <c r="T27" s="513" t="s">
        <v>868</v>
      </c>
    </row>
    <row r="28" spans="1:20" s="200" customFormat="1" ht="45" x14ac:dyDescent="0.2">
      <c r="A28" s="203" t="s">
        <v>542</v>
      </c>
      <c r="B28" s="1089" t="s">
        <v>825</v>
      </c>
      <c r="C28" s="1089" t="s">
        <v>842</v>
      </c>
      <c r="D28" s="501" t="s">
        <v>845</v>
      </c>
      <c r="E28" s="501" t="s">
        <v>859</v>
      </c>
      <c r="F28" s="501">
        <v>1</v>
      </c>
      <c r="G28" s="501">
        <v>12</v>
      </c>
      <c r="H28" s="501">
        <v>3</v>
      </c>
      <c r="I28" s="501">
        <v>3</v>
      </c>
      <c r="J28" s="204">
        <f t="shared" si="0"/>
        <v>1</v>
      </c>
      <c r="K28" s="501">
        <v>3</v>
      </c>
      <c r="L28" s="501"/>
      <c r="M28" s="204">
        <f t="shared" si="1"/>
        <v>0</v>
      </c>
      <c r="N28" s="501">
        <v>3</v>
      </c>
      <c r="O28" s="501"/>
      <c r="P28" s="204">
        <f t="shared" si="2"/>
        <v>0</v>
      </c>
      <c r="Q28" s="501">
        <v>3</v>
      </c>
      <c r="R28" s="501"/>
      <c r="S28" s="204">
        <f t="shared" si="3"/>
        <v>0</v>
      </c>
      <c r="T28" s="513"/>
    </row>
    <row r="29" spans="1:20" s="200" customFormat="1" ht="56.25" x14ac:dyDescent="0.2">
      <c r="A29" s="203" t="s">
        <v>543</v>
      </c>
      <c r="B29" s="1089" t="s">
        <v>826</v>
      </c>
      <c r="C29" s="1089" t="s">
        <v>843</v>
      </c>
      <c r="D29" s="501" t="s">
        <v>846</v>
      </c>
      <c r="E29" s="501" t="s">
        <v>860</v>
      </c>
      <c r="F29" s="501">
        <v>1</v>
      </c>
      <c r="G29" s="501">
        <v>12</v>
      </c>
      <c r="H29" s="501">
        <v>3</v>
      </c>
      <c r="I29" s="501">
        <v>3</v>
      </c>
      <c r="J29" s="204">
        <f t="shared" si="0"/>
        <v>1</v>
      </c>
      <c r="K29" s="501">
        <v>3</v>
      </c>
      <c r="L29" s="501"/>
      <c r="M29" s="204">
        <f t="shared" si="1"/>
        <v>0</v>
      </c>
      <c r="N29" s="501">
        <v>3</v>
      </c>
      <c r="O29" s="501"/>
      <c r="P29" s="204">
        <f t="shared" si="2"/>
        <v>0</v>
      </c>
      <c r="Q29" s="501">
        <v>3</v>
      </c>
      <c r="R29" s="501"/>
      <c r="S29" s="204">
        <f t="shared" si="3"/>
        <v>0</v>
      </c>
      <c r="T29" s="513"/>
    </row>
    <row r="30" spans="1:20" s="200" customFormat="1" x14ac:dyDescent="0.25">
      <c r="A30" s="203" t="s">
        <v>544</v>
      </c>
      <c r="B30" s="499"/>
      <c r="C30" s="499"/>
      <c r="D30" s="501"/>
      <c r="E30" s="501"/>
      <c r="F30" s="501"/>
      <c r="G30" s="501"/>
      <c r="H30" s="501"/>
      <c r="I30" s="501"/>
      <c r="J30" s="204" t="e">
        <f t="shared" si="0"/>
        <v>#DIV/0!</v>
      </c>
      <c r="K30" s="501"/>
      <c r="L30" s="501"/>
      <c r="M30" s="204" t="e">
        <f t="shared" si="1"/>
        <v>#DIV/0!</v>
      </c>
      <c r="N30" s="501"/>
      <c r="O30" s="501"/>
      <c r="P30" s="204" t="e">
        <f t="shared" si="2"/>
        <v>#DIV/0!</v>
      </c>
      <c r="Q30" s="501"/>
      <c r="R30" s="501"/>
      <c r="S30" s="204" t="e">
        <f t="shared" si="3"/>
        <v>#DIV/0!</v>
      </c>
      <c r="T30" s="513"/>
    </row>
    <row r="31" spans="1:20" s="200" customFormat="1" x14ac:dyDescent="0.25">
      <c r="A31" s="203" t="s">
        <v>545</v>
      </c>
      <c r="B31" s="499"/>
      <c r="C31" s="499"/>
      <c r="D31" s="501"/>
      <c r="E31" s="501"/>
      <c r="F31" s="501"/>
      <c r="G31" s="501"/>
      <c r="H31" s="501"/>
      <c r="I31" s="501"/>
      <c r="J31" s="204" t="e">
        <f t="shared" si="0"/>
        <v>#DIV/0!</v>
      </c>
      <c r="K31" s="501"/>
      <c r="L31" s="501"/>
      <c r="M31" s="204" t="e">
        <f t="shared" si="1"/>
        <v>#DIV/0!</v>
      </c>
      <c r="N31" s="501"/>
      <c r="O31" s="501"/>
      <c r="P31" s="204" t="e">
        <f t="shared" si="2"/>
        <v>#DIV/0!</v>
      </c>
      <c r="Q31" s="501"/>
      <c r="R31" s="501"/>
      <c r="S31" s="204" t="e">
        <f t="shared" si="3"/>
        <v>#DIV/0!</v>
      </c>
      <c r="T31" s="513"/>
    </row>
    <row r="32" spans="1:20" s="200" customFormat="1" ht="45.75" customHeight="1" x14ac:dyDescent="0.25">
      <c r="A32" s="206">
        <v>2.2999999999999998</v>
      </c>
      <c r="B32" s="496" t="s">
        <v>823</v>
      </c>
      <c r="C32" s="497"/>
      <c r="D32" s="497"/>
      <c r="E32" s="506"/>
      <c r="F32" s="506"/>
      <c r="G32" s="506"/>
      <c r="H32" s="506"/>
      <c r="I32" s="506"/>
      <c r="J32" s="202" t="e">
        <f t="shared" si="0"/>
        <v>#DIV/0!</v>
      </c>
      <c r="K32" s="506"/>
      <c r="L32" s="506"/>
      <c r="M32" s="202" t="e">
        <f t="shared" si="1"/>
        <v>#DIV/0!</v>
      </c>
      <c r="N32" s="506"/>
      <c r="O32" s="506"/>
      <c r="P32" s="202" t="e">
        <f t="shared" si="2"/>
        <v>#DIV/0!</v>
      </c>
      <c r="Q32" s="506"/>
      <c r="R32" s="506"/>
      <c r="S32" s="202" t="e">
        <f t="shared" si="3"/>
        <v>#DIV/0!</v>
      </c>
      <c r="T32" s="516"/>
    </row>
    <row r="33" spans="1:20" s="200" customFormat="1" ht="78.75" x14ac:dyDescent="0.2">
      <c r="A33" s="203" t="s">
        <v>546</v>
      </c>
      <c r="B33" s="1089" t="s">
        <v>830</v>
      </c>
      <c r="C33" s="1089" t="s">
        <v>847</v>
      </c>
      <c r="D33" s="507" t="s">
        <v>850</v>
      </c>
      <c r="E33" s="507" t="s">
        <v>861</v>
      </c>
      <c r="F33" s="507">
        <v>1</v>
      </c>
      <c r="G33" s="507">
        <v>10</v>
      </c>
      <c r="H33" s="507">
        <v>1</v>
      </c>
      <c r="I33" s="507">
        <v>0</v>
      </c>
      <c r="J33" s="204">
        <f t="shared" si="0"/>
        <v>0</v>
      </c>
      <c r="K33" s="507">
        <v>3</v>
      </c>
      <c r="L33" s="507"/>
      <c r="M33" s="204">
        <f t="shared" si="1"/>
        <v>0</v>
      </c>
      <c r="N33" s="507">
        <v>3</v>
      </c>
      <c r="O33" s="507"/>
      <c r="P33" s="204">
        <f t="shared" si="2"/>
        <v>0</v>
      </c>
      <c r="Q33" s="507">
        <v>3</v>
      </c>
      <c r="R33" s="507"/>
      <c r="S33" s="204">
        <f t="shared" si="3"/>
        <v>0</v>
      </c>
      <c r="T33" s="517"/>
    </row>
    <row r="34" spans="1:20" s="200" customFormat="1" ht="22.5" x14ac:dyDescent="0.2">
      <c r="A34" s="203" t="s">
        <v>547</v>
      </c>
      <c r="B34" s="1089" t="s">
        <v>829</v>
      </c>
      <c r="C34" s="1089" t="s">
        <v>848</v>
      </c>
      <c r="D34" s="507" t="s">
        <v>850</v>
      </c>
      <c r="E34" s="507" t="s">
        <v>862</v>
      </c>
      <c r="F34" s="507">
        <v>1</v>
      </c>
      <c r="G34" s="507">
        <v>10</v>
      </c>
      <c r="H34" s="507">
        <v>1</v>
      </c>
      <c r="I34" s="507">
        <v>0</v>
      </c>
      <c r="J34" s="204">
        <f t="shared" si="0"/>
        <v>0</v>
      </c>
      <c r="K34" s="507">
        <v>3</v>
      </c>
      <c r="L34" s="507"/>
      <c r="M34" s="204">
        <f t="shared" si="1"/>
        <v>0</v>
      </c>
      <c r="N34" s="507">
        <v>3</v>
      </c>
      <c r="O34" s="507"/>
      <c r="P34" s="204">
        <f t="shared" si="2"/>
        <v>0</v>
      </c>
      <c r="Q34" s="507">
        <v>3</v>
      </c>
      <c r="R34" s="507"/>
      <c r="S34" s="204">
        <f t="shared" si="3"/>
        <v>0</v>
      </c>
      <c r="T34" s="517"/>
    </row>
    <row r="35" spans="1:20" s="200" customFormat="1" ht="56.25" x14ac:dyDescent="0.2">
      <c r="A35" s="203" t="s">
        <v>548</v>
      </c>
      <c r="B35" s="1089" t="s">
        <v>834</v>
      </c>
      <c r="C35" s="1089" t="s">
        <v>849</v>
      </c>
      <c r="D35" s="507" t="s">
        <v>851</v>
      </c>
      <c r="E35" s="507" t="s">
        <v>863</v>
      </c>
      <c r="F35" s="507">
        <v>1</v>
      </c>
      <c r="G35" s="507">
        <v>10</v>
      </c>
      <c r="H35" s="507">
        <v>1</v>
      </c>
      <c r="I35" s="507">
        <v>0</v>
      </c>
      <c r="J35" s="204">
        <f t="shared" si="0"/>
        <v>0</v>
      </c>
      <c r="K35" s="507">
        <v>3</v>
      </c>
      <c r="L35" s="507"/>
      <c r="M35" s="204">
        <f t="shared" si="1"/>
        <v>0</v>
      </c>
      <c r="N35" s="507">
        <v>3</v>
      </c>
      <c r="O35" s="507"/>
      <c r="P35" s="204">
        <f t="shared" si="2"/>
        <v>0</v>
      </c>
      <c r="Q35" s="507">
        <v>3</v>
      </c>
      <c r="R35" s="507"/>
      <c r="S35" s="204">
        <f t="shared" si="3"/>
        <v>0</v>
      </c>
      <c r="T35" s="517"/>
    </row>
    <row r="36" spans="1:20" s="200" customFormat="1" x14ac:dyDescent="0.25">
      <c r="A36" s="203" t="s">
        <v>549</v>
      </c>
      <c r="B36" s="499"/>
      <c r="C36" s="499"/>
      <c r="D36" s="507"/>
      <c r="E36" s="507"/>
      <c r="F36" s="507"/>
      <c r="G36" s="507"/>
      <c r="H36" s="507"/>
      <c r="I36" s="507"/>
      <c r="J36" s="204" t="e">
        <f t="shared" si="0"/>
        <v>#DIV/0!</v>
      </c>
      <c r="K36" s="507"/>
      <c r="L36" s="507"/>
      <c r="M36" s="204" t="e">
        <f t="shared" si="1"/>
        <v>#DIV/0!</v>
      </c>
      <c r="N36" s="507"/>
      <c r="O36" s="507"/>
      <c r="P36" s="204" t="e">
        <f t="shared" si="2"/>
        <v>#DIV/0!</v>
      </c>
      <c r="Q36" s="507"/>
      <c r="R36" s="507"/>
      <c r="S36" s="204" t="e">
        <f t="shared" si="3"/>
        <v>#DIV/0!</v>
      </c>
      <c r="T36" s="517"/>
    </row>
    <row r="37" spans="1:20" s="200" customFormat="1" x14ac:dyDescent="0.25">
      <c r="A37" s="203" t="s">
        <v>550</v>
      </c>
      <c r="B37" s="499"/>
      <c r="C37" s="499"/>
      <c r="D37" s="507"/>
      <c r="E37" s="507"/>
      <c r="F37" s="507"/>
      <c r="G37" s="507"/>
      <c r="H37" s="507"/>
      <c r="I37" s="507"/>
      <c r="J37" s="204" t="e">
        <f t="shared" si="0"/>
        <v>#DIV/0!</v>
      </c>
      <c r="K37" s="507"/>
      <c r="L37" s="507"/>
      <c r="M37" s="204" t="e">
        <f t="shared" si="1"/>
        <v>#DIV/0!</v>
      </c>
      <c r="N37" s="507"/>
      <c r="O37" s="507"/>
      <c r="P37" s="204" t="e">
        <f t="shared" si="2"/>
        <v>#DIV/0!</v>
      </c>
      <c r="Q37" s="507"/>
      <c r="R37" s="507"/>
      <c r="S37" s="204" t="e">
        <f t="shared" si="3"/>
        <v>#DIV/0!</v>
      </c>
      <c r="T37" s="517"/>
    </row>
    <row r="38" spans="1:20" s="200" customFormat="1" ht="43.5" customHeight="1" x14ac:dyDescent="0.25">
      <c r="A38" s="206">
        <v>2.4</v>
      </c>
      <c r="B38" s="496" t="s">
        <v>831</v>
      </c>
      <c r="C38" s="497"/>
      <c r="D38" s="497"/>
      <c r="E38" s="506"/>
      <c r="F38" s="506"/>
      <c r="G38" s="506"/>
      <c r="H38" s="506"/>
      <c r="I38" s="506"/>
      <c r="J38" s="202" t="e">
        <f t="shared" si="0"/>
        <v>#DIV/0!</v>
      </c>
      <c r="K38" s="506"/>
      <c r="L38" s="506"/>
      <c r="M38" s="202" t="e">
        <f t="shared" si="1"/>
        <v>#DIV/0!</v>
      </c>
      <c r="N38" s="506"/>
      <c r="O38" s="506"/>
      <c r="P38" s="202" t="e">
        <f t="shared" si="2"/>
        <v>#DIV/0!</v>
      </c>
      <c r="Q38" s="506"/>
      <c r="R38" s="506"/>
      <c r="S38" s="202" t="e">
        <f t="shared" si="3"/>
        <v>#DIV/0!</v>
      </c>
      <c r="T38" s="516"/>
    </row>
    <row r="39" spans="1:20" ht="180" x14ac:dyDescent="0.2">
      <c r="A39" s="203" t="s">
        <v>551</v>
      </c>
      <c r="B39" s="1089" t="s">
        <v>832</v>
      </c>
      <c r="C39" s="1089" t="s">
        <v>852</v>
      </c>
      <c r="D39" s="501" t="s">
        <v>855</v>
      </c>
      <c r="E39" s="507" t="s">
        <v>864</v>
      </c>
      <c r="F39" s="501">
        <v>1</v>
      </c>
      <c r="G39" s="501">
        <v>3</v>
      </c>
      <c r="H39" s="501">
        <v>0</v>
      </c>
      <c r="I39" s="501">
        <v>0</v>
      </c>
      <c r="J39" s="204" t="e">
        <f t="shared" si="0"/>
        <v>#DIV/0!</v>
      </c>
      <c r="K39" s="501">
        <v>1</v>
      </c>
      <c r="L39" s="501"/>
      <c r="M39" s="204">
        <f t="shared" si="1"/>
        <v>0</v>
      </c>
      <c r="N39" s="501">
        <v>1</v>
      </c>
      <c r="O39" s="501"/>
      <c r="P39" s="204">
        <f t="shared" si="2"/>
        <v>0</v>
      </c>
      <c r="Q39" s="501">
        <v>1</v>
      </c>
      <c r="R39" s="501"/>
      <c r="S39" s="204">
        <f t="shared" si="3"/>
        <v>0</v>
      </c>
      <c r="T39" s="513" t="s">
        <v>870</v>
      </c>
    </row>
    <row r="40" spans="1:20" ht="67.5" x14ac:dyDescent="0.2">
      <c r="A40" s="203" t="s">
        <v>552</v>
      </c>
      <c r="B40" s="1089" t="s">
        <v>853</v>
      </c>
      <c r="C40" s="1089" t="s">
        <v>854</v>
      </c>
      <c r="D40" s="501" t="s">
        <v>856</v>
      </c>
      <c r="E40" s="507" t="s">
        <v>864</v>
      </c>
      <c r="F40" s="501">
        <v>1</v>
      </c>
      <c r="G40" s="501">
        <v>1</v>
      </c>
      <c r="H40" s="501">
        <v>0</v>
      </c>
      <c r="I40" s="501">
        <v>0</v>
      </c>
      <c r="J40" s="204" t="e">
        <f t="shared" si="0"/>
        <v>#DIV/0!</v>
      </c>
      <c r="K40" s="501">
        <v>0</v>
      </c>
      <c r="L40" s="501"/>
      <c r="M40" s="204" t="e">
        <f t="shared" si="1"/>
        <v>#DIV/0!</v>
      </c>
      <c r="N40" s="501">
        <v>1</v>
      </c>
      <c r="O40" s="501"/>
      <c r="P40" s="204">
        <f t="shared" si="2"/>
        <v>0</v>
      </c>
      <c r="Q40" s="501">
        <v>1</v>
      </c>
      <c r="R40" s="501"/>
      <c r="S40" s="204">
        <f t="shared" si="3"/>
        <v>0</v>
      </c>
      <c r="T40" s="513" t="s">
        <v>869</v>
      </c>
    </row>
    <row r="41" spans="1:20" x14ac:dyDescent="0.25">
      <c r="A41" s="203" t="s">
        <v>553</v>
      </c>
      <c r="B41" s="499"/>
      <c r="C41" s="499"/>
      <c r="D41" s="501"/>
      <c r="E41" s="501"/>
      <c r="F41" s="501"/>
      <c r="G41" s="501"/>
      <c r="H41" s="501"/>
      <c r="I41" s="501"/>
      <c r="J41" s="204" t="e">
        <f t="shared" si="0"/>
        <v>#DIV/0!</v>
      </c>
      <c r="K41" s="501"/>
      <c r="L41" s="501"/>
      <c r="M41" s="204" t="e">
        <f t="shared" si="1"/>
        <v>#DIV/0!</v>
      </c>
      <c r="N41" s="501"/>
      <c r="O41" s="501"/>
      <c r="P41" s="204" t="e">
        <f t="shared" si="2"/>
        <v>#DIV/0!</v>
      </c>
      <c r="Q41" s="501"/>
      <c r="R41" s="501"/>
      <c r="S41" s="204" t="e">
        <f t="shared" si="3"/>
        <v>#DIV/0!</v>
      </c>
      <c r="T41" s="513"/>
    </row>
    <row r="42" spans="1:20" x14ac:dyDescent="0.25">
      <c r="A42" s="203" t="s">
        <v>554</v>
      </c>
      <c r="B42" s="499"/>
      <c r="C42" s="499"/>
      <c r="D42" s="501"/>
      <c r="E42" s="501"/>
      <c r="F42" s="501"/>
      <c r="G42" s="501"/>
      <c r="H42" s="501"/>
      <c r="I42" s="501"/>
      <c r="J42" s="204" t="e">
        <f t="shared" si="0"/>
        <v>#DIV/0!</v>
      </c>
      <c r="K42" s="501"/>
      <c r="L42" s="501"/>
      <c r="M42" s="204" t="e">
        <f t="shared" si="1"/>
        <v>#DIV/0!</v>
      </c>
      <c r="N42" s="501"/>
      <c r="O42" s="501"/>
      <c r="P42" s="204" t="e">
        <f t="shared" si="2"/>
        <v>#DIV/0!</v>
      </c>
      <c r="Q42" s="501"/>
      <c r="R42" s="501"/>
      <c r="S42" s="204" t="e">
        <f t="shared" si="3"/>
        <v>#DIV/0!</v>
      </c>
      <c r="T42" s="513"/>
    </row>
    <row r="43" spans="1:20" ht="42" customHeight="1" x14ac:dyDescent="0.25">
      <c r="A43" s="198">
        <v>3</v>
      </c>
      <c r="B43" s="1246" t="s">
        <v>536</v>
      </c>
      <c r="C43" s="1247"/>
      <c r="D43" s="1248"/>
      <c r="E43" s="502"/>
      <c r="F43" s="502"/>
      <c r="G43" s="502"/>
      <c r="H43" s="502"/>
      <c r="I43" s="502"/>
      <c r="J43" s="205" t="e">
        <f t="shared" si="0"/>
        <v>#DIV/0!</v>
      </c>
      <c r="K43" s="502"/>
      <c r="L43" s="502"/>
      <c r="M43" s="205" t="e">
        <f t="shared" si="1"/>
        <v>#DIV/0!</v>
      </c>
      <c r="N43" s="502"/>
      <c r="O43" s="502"/>
      <c r="P43" s="205" t="e">
        <f t="shared" si="2"/>
        <v>#DIV/0!</v>
      </c>
      <c r="Q43" s="502"/>
      <c r="R43" s="502"/>
      <c r="S43" s="205" t="e">
        <f t="shared" si="3"/>
        <v>#DIV/0!</v>
      </c>
      <c r="T43" s="511"/>
    </row>
    <row r="44" spans="1:20" ht="45" customHeight="1" x14ac:dyDescent="0.25">
      <c r="A44" s="201">
        <v>3.1</v>
      </c>
      <c r="B44" s="496" t="s">
        <v>531</v>
      </c>
      <c r="C44" s="497"/>
      <c r="D44" s="497"/>
      <c r="E44" s="503"/>
      <c r="F44" s="503"/>
      <c r="G44" s="503"/>
      <c r="H44" s="503"/>
      <c r="I44" s="503"/>
      <c r="J44" s="202" t="e">
        <f t="shared" si="0"/>
        <v>#DIV/0!</v>
      </c>
      <c r="K44" s="503"/>
      <c r="L44" s="503"/>
      <c r="M44" s="202" t="e">
        <f t="shared" si="1"/>
        <v>#DIV/0!</v>
      </c>
      <c r="N44" s="503"/>
      <c r="O44" s="503"/>
      <c r="P44" s="202" t="e">
        <f t="shared" si="2"/>
        <v>#DIV/0!</v>
      </c>
      <c r="Q44" s="503"/>
      <c r="R44" s="503"/>
      <c r="S44" s="202" t="e">
        <f t="shared" si="3"/>
        <v>#DIV/0!</v>
      </c>
      <c r="T44" s="515"/>
    </row>
    <row r="45" spans="1:20" x14ac:dyDescent="0.25">
      <c r="A45" s="203" t="s">
        <v>555</v>
      </c>
      <c r="B45" s="499"/>
      <c r="C45" s="499"/>
      <c r="D45" s="501"/>
      <c r="E45" s="501"/>
      <c r="F45" s="501"/>
      <c r="G45" s="501"/>
      <c r="H45" s="501"/>
      <c r="I45" s="501"/>
      <c r="J45" s="204" t="e">
        <f t="shared" si="0"/>
        <v>#DIV/0!</v>
      </c>
      <c r="K45" s="501"/>
      <c r="L45" s="501"/>
      <c r="M45" s="204" t="e">
        <f t="shared" si="1"/>
        <v>#DIV/0!</v>
      </c>
      <c r="N45" s="501"/>
      <c r="O45" s="501"/>
      <c r="P45" s="204" t="e">
        <f t="shared" si="2"/>
        <v>#DIV/0!</v>
      </c>
      <c r="Q45" s="501"/>
      <c r="R45" s="501"/>
      <c r="S45" s="204" t="e">
        <f t="shared" si="3"/>
        <v>#DIV/0!</v>
      </c>
      <c r="T45" s="513"/>
    </row>
    <row r="46" spans="1:20" x14ac:dyDescent="0.2">
      <c r="A46" s="203" t="s">
        <v>556</v>
      </c>
      <c r="B46" s="504"/>
      <c r="C46" s="504"/>
      <c r="D46" s="501"/>
      <c r="E46" s="501"/>
      <c r="F46" s="501"/>
      <c r="G46" s="501"/>
      <c r="H46" s="501"/>
      <c r="I46" s="501"/>
      <c r="J46" s="204" t="e">
        <f t="shared" si="0"/>
        <v>#DIV/0!</v>
      </c>
      <c r="K46" s="501"/>
      <c r="L46" s="501"/>
      <c r="M46" s="204" t="e">
        <f t="shared" si="1"/>
        <v>#DIV/0!</v>
      </c>
      <c r="N46" s="501"/>
      <c r="O46" s="501"/>
      <c r="P46" s="204" t="e">
        <f t="shared" si="2"/>
        <v>#DIV/0!</v>
      </c>
      <c r="Q46" s="501"/>
      <c r="R46" s="501"/>
      <c r="S46" s="204" t="e">
        <f t="shared" si="3"/>
        <v>#DIV/0!</v>
      </c>
      <c r="T46" s="513"/>
    </row>
    <row r="47" spans="1:20" x14ac:dyDescent="0.2">
      <c r="A47" s="203" t="s">
        <v>557</v>
      </c>
      <c r="B47" s="504"/>
      <c r="C47" s="504"/>
      <c r="D47" s="501"/>
      <c r="E47" s="501"/>
      <c r="F47" s="501"/>
      <c r="G47" s="501"/>
      <c r="H47" s="501"/>
      <c r="I47" s="501"/>
      <c r="J47" s="204" t="e">
        <f t="shared" si="0"/>
        <v>#DIV/0!</v>
      </c>
      <c r="K47" s="501"/>
      <c r="L47" s="501"/>
      <c r="M47" s="204" t="e">
        <f t="shared" si="1"/>
        <v>#DIV/0!</v>
      </c>
      <c r="N47" s="501"/>
      <c r="O47" s="501"/>
      <c r="P47" s="204" t="e">
        <f t="shared" si="2"/>
        <v>#DIV/0!</v>
      </c>
      <c r="Q47" s="501"/>
      <c r="R47" s="501"/>
      <c r="S47" s="204" t="e">
        <f t="shared" si="3"/>
        <v>#DIV/0!</v>
      </c>
      <c r="T47" s="513"/>
    </row>
    <row r="48" spans="1:20" x14ac:dyDescent="0.25">
      <c r="A48" s="203" t="s">
        <v>558</v>
      </c>
      <c r="B48" s="505"/>
      <c r="C48" s="505"/>
      <c r="D48" s="501"/>
      <c r="E48" s="501"/>
      <c r="F48" s="501"/>
      <c r="G48" s="501"/>
      <c r="H48" s="501"/>
      <c r="I48" s="501"/>
      <c r="J48" s="204" t="e">
        <f t="shared" si="0"/>
        <v>#DIV/0!</v>
      </c>
      <c r="K48" s="501"/>
      <c r="L48" s="501"/>
      <c r="M48" s="204" t="e">
        <f t="shared" si="1"/>
        <v>#DIV/0!</v>
      </c>
      <c r="N48" s="501"/>
      <c r="O48" s="501"/>
      <c r="P48" s="204" t="e">
        <f t="shared" si="2"/>
        <v>#DIV/0!</v>
      </c>
      <c r="Q48" s="501"/>
      <c r="R48" s="501"/>
      <c r="S48" s="204" t="e">
        <f t="shared" si="3"/>
        <v>#DIV/0!</v>
      </c>
      <c r="T48" s="513"/>
    </row>
    <row r="49" spans="1:20" ht="38.25" customHeight="1" x14ac:dyDescent="0.25">
      <c r="A49" s="206" t="s">
        <v>559</v>
      </c>
      <c r="B49" s="496" t="s">
        <v>531</v>
      </c>
      <c r="C49" s="497"/>
      <c r="D49" s="497"/>
      <c r="E49" s="503"/>
      <c r="F49" s="503"/>
      <c r="G49" s="503"/>
      <c r="H49" s="503"/>
      <c r="I49" s="503"/>
      <c r="J49" s="202" t="e">
        <f t="shared" si="0"/>
        <v>#DIV/0!</v>
      </c>
      <c r="K49" s="503"/>
      <c r="L49" s="503"/>
      <c r="M49" s="202" t="e">
        <f t="shared" si="1"/>
        <v>#DIV/0!</v>
      </c>
      <c r="N49" s="503"/>
      <c r="O49" s="503"/>
      <c r="P49" s="202" t="e">
        <f t="shared" si="2"/>
        <v>#DIV/0!</v>
      </c>
      <c r="Q49" s="503"/>
      <c r="R49" s="503"/>
      <c r="S49" s="202" t="e">
        <f t="shared" si="3"/>
        <v>#DIV/0!</v>
      </c>
      <c r="T49" s="515"/>
    </row>
    <row r="50" spans="1:20" x14ac:dyDescent="0.25">
      <c r="A50" s="203" t="s">
        <v>560</v>
      </c>
      <c r="B50" s="505"/>
      <c r="C50" s="505"/>
      <c r="D50" s="501"/>
      <c r="E50" s="501"/>
      <c r="F50" s="501"/>
      <c r="G50" s="501"/>
      <c r="H50" s="501"/>
      <c r="I50" s="501"/>
      <c r="J50" s="204" t="e">
        <f t="shared" si="0"/>
        <v>#DIV/0!</v>
      </c>
      <c r="K50" s="501"/>
      <c r="L50" s="501"/>
      <c r="M50" s="204" t="e">
        <f t="shared" si="1"/>
        <v>#DIV/0!</v>
      </c>
      <c r="N50" s="501"/>
      <c r="O50" s="501"/>
      <c r="P50" s="204" t="e">
        <f t="shared" si="2"/>
        <v>#DIV/0!</v>
      </c>
      <c r="Q50" s="501"/>
      <c r="R50" s="501"/>
      <c r="S50" s="204" t="e">
        <f t="shared" si="3"/>
        <v>#DIV/0!</v>
      </c>
      <c r="T50" s="513"/>
    </row>
    <row r="51" spans="1:20" x14ac:dyDescent="0.25">
      <c r="A51" s="203" t="s">
        <v>561</v>
      </c>
      <c r="B51" s="505"/>
      <c r="C51" s="505"/>
      <c r="D51" s="501"/>
      <c r="E51" s="501"/>
      <c r="F51" s="501"/>
      <c r="G51" s="501"/>
      <c r="H51" s="501"/>
      <c r="I51" s="501"/>
      <c r="J51" s="204" t="e">
        <f t="shared" si="0"/>
        <v>#DIV/0!</v>
      </c>
      <c r="K51" s="501"/>
      <c r="L51" s="501"/>
      <c r="M51" s="204" t="e">
        <f t="shared" si="1"/>
        <v>#DIV/0!</v>
      </c>
      <c r="N51" s="501"/>
      <c r="O51" s="501"/>
      <c r="P51" s="204" t="e">
        <f t="shared" si="2"/>
        <v>#DIV/0!</v>
      </c>
      <c r="Q51" s="501"/>
      <c r="R51" s="501"/>
      <c r="S51" s="204" t="e">
        <f t="shared" si="3"/>
        <v>#DIV/0!</v>
      </c>
      <c r="T51" s="513"/>
    </row>
    <row r="52" spans="1:20" x14ac:dyDescent="0.25">
      <c r="A52" s="203" t="s">
        <v>562</v>
      </c>
      <c r="B52" s="505"/>
      <c r="C52" s="505"/>
      <c r="D52" s="501"/>
      <c r="E52" s="501"/>
      <c r="F52" s="501"/>
      <c r="G52" s="501"/>
      <c r="H52" s="501"/>
      <c r="I52" s="501"/>
      <c r="J52" s="204" t="e">
        <f t="shared" si="0"/>
        <v>#DIV/0!</v>
      </c>
      <c r="K52" s="501"/>
      <c r="L52" s="501"/>
      <c r="M52" s="204" t="e">
        <f t="shared" si="1"/>
        <v>#DIV/0!</v>
      </c>
      <c r="N52" s="501"/>
      <c r="O52" s="501"/>
      <c r="P52" s="204" t="e">
        <f t="shared" si="2"/>
        <v>#DIV/0!</v>
      </c>
      <c r="Q52" s="501"/>
      <c r="R52" s="501"/>
      <c r="S52" s="204" t="e">
        <f t="shared" si="3"/>
        <v>#DIV/0!</v>
      </c>
      <c r="T52" s="513"/>
    </row>
    <row r="53" spans="1:20" x14ac:dyDescent="0.25">
      <c r="A53" s="203" t="s">
        <v>563</v>
      </c>
      <c r="B53" s="499"/>
      <c r="C53" s="499"/>
      <c r="D53" s="501"/>
      <c r="E53" s="501"/>
      <c r="F53" s="501"/>
      <c r="G53" s="501"/>
      <c r="H53" s="501"/>
      <c r="I53" s="501"/>
      <c r="J53" s="204" t="e">
        <f t="shared" si="0"/>
        <v>#DIV/0!</v>
      </c>
      <c r="K53" s="501"/>
      <c r="L53" s="501"/>
      <c r="M53" s="204" t="e">
        <f t="shared" si="1"/>
        <v>#DIV/0!</v>
      </c>
      <c r="N53" s="501"/>
      <c r="O53" s="501"/>
      <c r="P53" s="204" t="e">
        <f t="shared" si="2"/>
        <v>#DIV/0!</v>
      </c>
      <c r="Q53" s="501"/>
      <c r="R53" s="501"/>
      <c r="S53" s="204" t="e">
        <f t="shared" si="3"/>
        <v>#DIV/0!</v>
      </c>
      <c r="T53" s="513"/>
    </row>
    <row r="54" spans="1:20" ht="13.5" thickBot="1" x14ac:dyDescent="0.3">
      <c r="A54" s="207" t="s">
        <v>564</v>
      </c>
      <c r="B54" s="508"/>
      <c r="C54" s="508"/>
      <c r="D54" s="509"/>
      <c r="E54" s="509"/>
      <c r="F54" s="509"/>
      <c r="G54" s="509"/>
      <c r="H54" s="509"/>
      <c r="I54" s="509"/>
      <c r="J54" s="208" t="e">
        <f t="shared" si="0"/>
        <v>#DIV/0!</v>
      </c>
      <c r="K54" s="509"/>
      <c r="L54" s="509"/>
      <c r="M54" s="208" t="e">
        <f t="shared" si="1"/>
        <v>#DIV/0!</v>
      </c>
      <c r="N54" s="509"/>
      <c r="O54" s="509"/>
      <c r="P54" s="208" t="e">
        <f t="shared" si="2"/>
        <v>#DIV/0!</v>
      </c>
      <c r="Q54" s="509"/>
      <c r="R54" s="509"/>
      <c r="S54" s="208" t="e">
        <f t="shared" si="3"/>
        <v>#DIV/0!</v>
      </c>
      <c r="T54" s="518"/>
    </row>
  </sheetData>
  <sheetProtection password="EADF" sheet="1"/>
  <protectedRanges>
    <protectedRange sqref="T9:T54" name="Rango5_1"/>
    <protectedRange sqref="Q9:R54" name="Rango4_1"/>
    <protectedRange sqref="N9:O54" name="Rango3_1"/>
    <protectedRange sqref="K9:L54" name="Rango2_1"/>
    <protectedRange sqref="B9:I54" name="Rango1_1"/>
  </protectedRanges>
  <mergeCells count="18">
    <mergeCell ref="A1:T1"/>
    <mergeCell ref="A2:T2"/>
    <mergeCell ref="A3:T3"/>
    <mergeCell ref="A5:T5"/>
    <mergeCell ref="Q7:S7"/>
    <mergeCell ref="T7:T8"/>
    <mergeCell ref="F7:G7"/>
    <mergeCell ref="H7:J7"/>
    <mergeCell ref="K7:M7"/>
    <mergeCell ref="N7:P7"/>
    <mergeCell ref="B20:D20"/>
    <mergeCell ref="B43:D43"/>
    <mergeCell ref="E7:E8"/>
    <mergeCell ref="B9:D9"/>
    <mergeCell ref="A7:A8"/>
    <mergeCell ref="B7:B8"/>
    <mergeCell ref="C7:C8"/>
    <mergeCell ref="D7:D8"/>
  </mergeCells>
  <phoneticPr fontId="60" type="noConversion"/>
  <printOptions horizontalCentered="1"/>
  <pageMargins left="0.19685039370078741" right="0.19685039370078741" top="0.39370078740157483" bottom="0.19685039370078741" header="0" footer="0"/>
  <pageSetup scale="50"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view="pageBreakPreview" topLeftCell="B4" zoomScale="80" zoomScaleNormal="100" zoomScaleSheetLayoutView="80" workbookViewId="0">
      <selection activeCell="E10" sqref="E10"/>
    </sheetView>
  </sheetViews>
  <sheetFormatPr baseColWidth="10" defaultRowHeight="15" x14ac:dyDescent="0.25"/>
  <cols>
    <col min="1" max="1" width="11.42578125" style="100"/>
    <col min="2" max="2" width="41.85546875" style="100" customWidth="1"/>
    <col min="3" max="3" width="29.5703125" style="100" customWidth="1"/>
    <col min="4" max="4" width="18.85546875" style="100" customWidth="1"/>
    <col min="5" max="5" width="12.7109375" style="100" customWidth="1"/>
    <col min="6" max="6" width="71.42578125" style="100" customWidth="1"/>
    <col min="7" max="16384" width="11.42578125" style="100"/>
  </cols>
  <sheetData>
    <row r="1" spans="1:17" ht="26.25" x14ac:dyDescent="0.25">
      <c r="A1" s="1265" t="s">
        <v>674</v>
      </c>
      <c r="B1" s="1265"/>
      <c r="C1" s="1265"/>
      <c r="D1" s="1265"/>
      <c r="E1" s="1265"/>
      <c r="F1" s="1265"/>
      <c r="G1" s="308"/>
      <c r="H1" s="308"/>
      <c r="I1" s="308"/>
      <c r="J1" s="308"/>
      <c r="K1" s="308"/>
      <c r="L1" s="308"/>
      <c r="M1" s="308"/>
      <c r="N1" s="308"/>
      <c r="O1" s="308"/>
      <c r="P1" s="308"/>
      <c r="Q1" s="308"/>
    </row>
    <row r="2" spans="1:17" ht="23.25" x14ac:dyDescent="0.25">
      <c r="A2" s="1266" t="s">
        <v>683</v>
      </c>
      <c r="B2" s="1266"/>
      <c r="C2" s="1266"/>
      <c r="D2" s="1266"/>
      <c r="E2" s="1266"/>
      <c r="F2" s="1266"/>
      <c r="G2" s="309"/>
      <c r="H2" s="309"/>
      <c r="I2" s="309"/>
      <c r="J2" s="309"/>
      <c r="K2" s="309"/>
      <c r="L2" s="309"/>
      <c r="M2" s="309"/>
      <c r="N2" s="309"/>
      <c r="O2" s="309"/>
      <c r="P2" s="309"/>
      <c r="Q2" s="309"/>
    </row>
    <row r="3" spans="1:17" ht="18.75" x14ac:dyDescent="0.25">
      <c r="A3" s="1264" t="s">
        <v>455</v>
      </c>
      <c r="B3" s="1264"/>
      <c r="C3" s="1264"/>
      <c r="D3" s="1264"/>
      <c r="E3" s="1264"/>
      <c r="F3" s="1264"/>
      <c r="G3" s="310"/>
      <c r="H3" s="310"/>
      <c r="I3" s="310"/>
      <c r="J3" s="310"/>
      <c r="K3" s="310"/>
      <c r="L3" s="310"/>
      <c r="M3" s="310"/>
      <c r="N3" s="310"/>
      <c r="O3" s="310"/>
      <c r="P3" s="310"/>
      <c r="Q3" s="310"/>
    </row>
    <row r="4" spans="1:17" ht="15.75" x14ac:dyDescent="0.25">
      <c r="A4" s="1264" t="s">
        <v>698</v>
      </c>
      <c r="B4" s="1264"/>
      <c r="C4" s="1264"/>
      <c r="D4" s="1264"/>
      <c r="E4" s="1264"/>
      <c r="F4" s="1264"/>
    </row>
    <row r="5" spans="1:17" ht="15.75" thickBot="1" x14ac:dyDescent="0.3"/>
    <row r="6" spans="1:17" ht="45" x14ac:dyDescent="0.25">
      <c r="A6" s="156" t="s">
        <v>456</v>
      </c>
      <c r="B6" s="156" t="s">
        <v>697</v>
      </c>
      <c r="C6" s="319" t="s">
        <v>457</v>
      </c>
      <c r="D6" s="241" t="s">
        <v>458</v>
      </c>
      <c r="E6" s="156">
        <v>2011</v>
      </c>
      <c r="F6" s="320" t="s">
        <v>459</v>
      </c>
    </row>
    <row r="7" spans="1:17" ht="78.75" x14ac:dyDescent="0.25">
      <c r="A7" s="115">
        <v>1</v>
      </c>
      <c r="B7" s="311" t="s">
        <v>460</v>
      </c>
      <c r="C7" s="312" t="s">
        <v>461</v>
      </c>
      <c r="D7" s="312" t="s">
        <v>462</v>
      </c>
      <c r="E7" s="519">
        <v>1.2687999999999999</v>
      </c>
      <c r="F7" s="313" t="s">
        <v>463</v>
      </c>
    </row>
    <row r="8" spans="1:17" ht="56.25" x14ac:dyDescent="0.25">
      <c r="A8" s="115">
        <f>A7+1</f>
        <v>2</v>
      </c>
      <c r="B8" s="311" t="s">
        <v>464</v>
      </c>
      <c r="C8" s="312" t="s">
        <v>465</v>
      </c>
      <c r="D8" s="312" t="s">
        <v>466</v>
      </c>
      <c r="E8" s="519">
        <v>0.04</v>
      </c>
      <c r="F8" s="313" t="s">
        <v>467</v>
      </c>
    </row>
    <row r="9" spans="1:17" ht="45" x14ac:dyDescent="0.25">
      <c r="A9" s="115">
        <f t="shared" ref="A9:A17" si="0">A8+1</f>
        <v>3</v>
      </c>
      <c r="B9" s="311" t="s">
        <v>468</v>
      </c>
      <c r="C9" s="312" t="s">
        <v>469</v>
      </c>
      <c r="D9" s="312" t="s">
        <v>470</v>
      </c>
      <c r="E9" s="520">
        <v>0</v>
      </c>
      <c r="F9" s="313" t="s">
        <v>471</v>
      </c>
    </row>
    <row r="10" spans="1:17" ht="67.5" x14ac:dyDescent="0.25">
      <c r="A10" s="115">
        <f t="shared" si="0"/>
        <v>4</v>
      </c>
      <c r="B10" s="311" t="s">
        <v>472</v>
      </c>
      <c r="C10" s="314" t="s">
        <v>473</v>
      </c>
      <c r="D10" s="312" t="s">
        <v>474</v>
      </c>
      <c r="E10" s="520">
        <v>28.45</v>
      </c>
      <c r="F10" s="313" t="s">
        <v>475</v>
      </c>
    </row>
    <row r="11" spans="1:17" ht="45" x14ac:dyDescent="0.25">
      <c r="A11" s="115">
        <f t="shared" si="0"/>
        <v>5</v>
      </c>
      <c r="B11" s="311" t="s">
        <v>476</v>
      </c>
      <c r="C11" s="312" t="s">
        <v>580</v>
      </c>
      <c r="D11" s="111"/>
      <c r="E11" s="520">
        <v>79</v>
      </c>
      <c r="F11" s="313" t="s">
        <v>477</v>
      </c>
    </row>
    <row r="12" spans="1:17" ht="45" x14ac:dyDescent="0.25">
      <c r="A12" s="340">
        <f t="shared" si="0"/>
        <v>6</v>
      </c>
      <c r="B12" s="311" t="s">
        <v>478</v>
      </c>
      <c r="C12" s="312" t="s">
        <v>631</v>
      </c>
      <c r="D12" s="111"/>
      <c r="E12" s="520">
        <v>3.17</v>
      </c>
      <c r="F12" s="313" t="s">
        <v>479</v>
      </c>
    </row>
    <row r="13" spans="1:17" ht="56.25" x14ac:dyDescent="0.25">
      <c r="A13" s="115">
        <f t="shared" si="0"/>
        <v>7</v>
      </c>
      <c r="B13" s="311" t="s">
        <v>696</v>
      </c>
      <c r="C13" s="312" t="s">
        <v>632</v>
      </c>
      <c r="D13" s="111"/>
      <c r="E13" s="520">
        <v>10.41</v>
      </c>
      <c r="F13" s="313" t="s">
        <v>480</v>
      </c>
    </row>
    <row r="14" spans="1:17" ht="56.25" x14ac:dyDescent="0.25">
      <c r="A14" s="115">
        <f t="shared" si="0"/>
        <v>8</v>
      </c>
      <c r="B14" s="311" t="s">
        <v>481</v>
      </c>
      <c r="C14" s="312" t="s">
        <v>482</v>
      </c>
      <c r="D14" s="111"/>
      <c r="E14" s="520">
        <v>19.71</v>
      </c>
      <c r="F14" s="313" t="s">
        <v>483</v>
      </c>
    </row>
    <row r="15" spans="1:17" ht="56.25" x14ac:dyDescent="0.25">
      <c r="A15" s="115">
        <f t="shared" si="0"/>
        <v>9</v>
      </c>
      <c r="B15" s="311" t="s">
        <v>484</v>
      </c>
      <c r="C15" s="314" t="s">
        <v>633</v>
      </c>
      <c r="D15" s="111"/>
      <c r="E15" s="520">
        <v>21</v>
      </c>
      <c r="F15" s="313" t="s">
        <v>485</v>
      </c>
    </row>
    <row r="16" spans="1:17" ht="56.25" x14ac:dyDescent="0.25">
      <c r="A16" s="115">
        <f t="shared" si="0"/>
        <v>10</v>
      </c>
      <c r="B16" s="311" t="s">
        <v>486</v>
      </c>
      <c r="C16" s="314" t="s">
        <v>634</v>
      </c>
      <c r="D16" s="111"/>
      <c r="E16" s="520">
        <v>45</v>
      </c>
      <c r="F16" s="313" t="s">
        <v>487</v>
      </c>
    </row>
    <row r="17" spans="1:6" ht="33.75" x14ac:dyDescent="0.25">
      <c r="A17" s="115">
        <f t="shared" si="0"/>
        <v>11</v>
      </c>
      <c r="B17" s="311" t="s">
        <v>488</v>
      </c>
      <c r="C17" s="312" t="s">
        <v>581</v>
      </c>
      <c r="D17" s="111"/>
      <c r="E17" s="1090">
        <v>1.5699999999999999E-2</v>
      </c>
      <c r="F17" s="313" t="s">
        <v>489</v>
      </c>
    </row>
    <row r="18" spans="1:6" ht="26.25" x14ac:dyDescent="0.25">
      <c r="A18" s="115"/>
      <c r="B18" s="311" t="s">
        <v>630</v>
      </c>
      <c r="C18" s="312" t="s">
        <v>637</v>
      </c>
      <c r="D18" s="111"/>
      <c r="E18" s="1090">
        <v>5.4000000000000003E-3</v>
      </c>
      <c r="F18" s="313"/>
    </row>
    <row r="19" spans="1:6" ht="33.75" x14ac:dyDescent="0.25">
      <c r="A19" s="115"/>
      <c r="B19" s="311" t="s">
        <v>635</v>
      </c>
      <c r="C19" s="312" t="s">
        <v>636</v>
      </c>
      <c r="D19" s="111"/>
      <c r="E19" s="1090">
        <v>8.0999999999999996E-3</v>
      </c>
      <c r="F19" s="313"/>
    </row>
    <row r="20" spans="1:6" ht="60" x14ac:dyDescent="0.25">
      <c r="A20" s="111"/>
      <c r="B20" s="315" t="s">
        <v>490</v>
      </c>
      <c r="C20" s="316" t="s">
        <v>491</v>
      </c>
      <c r="D20" s="111"/>
      <c r="E20" s="1091">
        <v>0.98839999999999995</v>
      </c>
      <c r="F20" s="140"/>
    </row>
    <row r="21" spans="1:6" ht="56.25" x14ac:dyDescent="0.25">
      <c r="A21" s="111"/>
      <c r="B21" s="315" t="s">
        <v>492</v>
      </c>
      <c r="C21" s="316" t="s">
        <v>493</v>
      </c>
      <c r="D21" s="111"/>
      <c r="E21" s="1091">
        <v>1.1599999999999999E-2</v>
      </c>
      <c r="F21" s="140"/>
    </row>
    <row r="22" spans="1:6" ht="56.25" x14ac:dyDescent="0.25">
      <c r="A22" s="111"/>
      <c r="B22" s="315" t="s">
        <v>494</v>
      </c>
      <c r="C22" s="316" t="s">
        <v>495</v>
      </c>
      <c r="D22" s="111"/>
      <c r="E22" s="1095" t="s">
        <v>871</v>
      </c>
      <c r="F22" s="140"/>
    </row>
    <row r="23" spans="1:6" ht="45" x14ac:dyDescent="0.25">
      <c r="A23" s="111"/>
      <c r="B23" s="315" t="s">
        <v>496</v>
      </c>
      <c r="C23" s="316" t="s">
        <v>497</v>
      </c>
      <c r="D23" s="111"/>
      <c r="E23" s="1091">
        <v>0.20630000000000001</v>
      </c>
      <c r="F23" s="140"/>
    </row>
    <row r="24" spans="1:6" ht="56.25" x14ac:dyDescent="0.25">
      <c r="A24" s="111"/>
      <c r="B24" s="315" t="s">
        <v>498</v>
      </c>
      <c r="C24" s="316" t="s">
        <v>499</v>
      </c>
      <c r="D24" s="111"/>
      <c r="E24" s="1092">
        <v>0.63200000000000001</v>
      </c>
      <c r="F24" s="140"/>
    </row>
    <row r="25" spans="1:6" ht="67.5" x14ac:dyDescent="0.25">
      <c r="A25" s="111"/>
      <c r="B25" s="315" t="s">
        <v>500</v>
      </c>
      <c r="C25" s="316" t="s">
        <v>501</v>
      </c>
      <c r="D25" s="111"/>
      <c r="E25" s="1091">
        <v>0.36799999999999999</v>
      </c>
      <c r="F25" s="140"/>
    </row>
    <row r="26" spans="1:6" ht="56.25" x14ac:dyDescent="0.25">
      <c r="A26" s="111"/>
      <c r="B26" s="315" t="s">
        <v>502</v>
      </c>
      <c r="C26" s="316" t="s">
        <v>503</v>
      </c>
      <c r="D26" s="111"/>
      <c r="E26" s="1095" t="s">
        <v>871</v>
      </c>
      <c r="F26" s="140"/>
    </row>
    <row r="27" spans="1:6" ht="67.5" x14ac:dyDescent="0.25">
      <c r="A27" s="111"/>
      <c r="B27" s="315" t="s">
        <v>504</v>
      </c>
      <c r="C27" s="316" t="s">
        <v>505</v>
      </c>
      <c r="D27" s="111"/>
      <c r="E27" s="1091">
        <v>9.5000000000000001E-2</v>
      </c>
      <c r="F27" s="140"/>
    </row>
    <row r="28" spans="1:6" ht="67.5" x14ac:dyDescent="0.25">
      <c r="A28" s="111"/>
      <c r="B28" s="315" t="s">
        <v>506</v>
      </c>
      <c r="C28" s="316" t="s">
        <v>507</v>
      </c>
      <c r="D28" s="111"/>
      <c r="E28" s="1091">
        <v>0.379</v>
      </c>
      <c r="F28" s="140"/>
    </row>
    <row r="29" spans="1:6" ht="67.5" x14ac:dyDescent="0.25">
      <c r="A29" s="111"/>
      <c r="B29" s="315" t="s">
        <v>508</v>
      </c>
      <c r="C29" s="316" t="s">
        <v>509</v>
      </c>
      <c r="D29" s="111"/>
      <c r="E29" s="1091">
        <v>0.20549999999999999</v>
      </c>
      <c r="F29" s="140"/>
    </row>
    <row r="30" spans="1:6" ht="67.5" x14ac:dyDescent="0.25">
      <c r="A30" s="111"/>
      <c r="B30" s="315" t="s">
        <v>510</v>
      </c>
      <c r="C30" s="316" t="s">
        <v>511</v>
      </c>
      <c r="D30" s="111"/>
      <c r="E30" s="1091">
        <v>0.29099999999999998</v>
      </c>
      <c r="F30" s="140"/>
    </row>
    <row r="31" spans="1:6" ht="57" thickBot="1" x14ac:dyDescent="0.3">
      <c r="A31" s="321"/>
      <c r="B31" s="317" t="s">
        <v>512</v>
      </c>
      <c r="C31" s="318" t="s">
        <v>513</v>
      </c>
      <c r="D31" s="321"/>
      <c r="E31" s="1093">
        <v>1.84E-2</v>
      </c>
      <c r="F31" s="322"/>
    </row>
    <row r="32" spans="1:6" x14ac:dyDescent="0.25">
      <c r="B32" s="325"/>
      <c r="D32" s="326"/>
    </row>
    <row r="33" spans="1:6" x14ac:dyDescent="0.25">
      <c r="B33" s="325"/>
      <c r="D33" s="326"/>
    </row>
    <row r="34" spans="1:6" x14ac:dyDescent="0.25">
      <c r="B34" s="325"/>
      <c r="D34" s="326"/>
    </row>
    <row r="35" spans="1:6" x14ac:dyDescent="0.25">
      <c r="B35" s="325"/>
      <c r="D35" s="326"/>
    </row>
    <row r="36" spans="1:6" x14ac:dyDescent="0.25">
      <c r="B36" s="326"/>
      <c r="D36" s="326"/>
    </row>
    <row r="37" spans="1:6" x14ac:dyDescent="0.25">
      <c r="B37" s="326"/>
      <c r="D37" s="326"/>
    </row>
    <row r="38" spans="1:6" x14ac:dyDescent="0.25">
      <c r="A38" s="1263"/>
      <c r="B38" s="1263"/>
      <c r="C38" s="1263"/>
      <c r="D38" s="1263"/>
      <c r="E38" s="1263"/>
      <c r="F38" s="1263"/>
    </row>
    <row r="39" spans="1:6" x14ac:dyDescent="0.25">
      <c r="A39" s="1263"/>
      <c r="B39" s="1263"/>
      <c r="C39" s="1263"/>
      <c r="D39" s="1263"/>
      <c r="E39" s="1263"/>
      <c r="F39" s="1263"/>
    </row>
    <row r="40" spans="1:6" x14ac:dyDescent="0.25">
      <c r="B40" s="326"/>
      <c r="D40" s="326"/>
    </row>
    <row r="41" spans="1:6" x14ac:dyDescent="0.25">
      <c r="B41" s="326"/>
      <c r="D41" s="326"/>
    </row>
    <row r="42" spans="1:6" x14ac:dyDescent="0.25">
      <c r="B42" s="326"/>
      <c r="D42" s="326"/>
    </row>
  </sheetData>
  <sheetProtection password="EADF" sheet="1"/>
  <mergeCells count="6">
    <mergeCell ref="A39:F39"/>
    <mergeCell ref="A38:F38"/>
    <mergeCell ref="A4:F4"/>
    <mergeCell ref="A1:F1"/>
    <mergeCell ref="A2:F2"/>
    <mergeCell ref="A3:F3"/>
  </mergeCells>
  <phoneticPr fontId="60" type="noConversion"/>
  <pageMargins left="0.70866141732283472" right="0.70866141732283472" top="0.74803149606299213" bottom="0.74803149606299213" header="0.31496062992125984" footer="0.31496062992125984"/>
  <pageSetup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showGridLines="0" topLeftCell="A7" zoomScaleNormal="100" workbookViewId="0">
      <selection activeCell="A9" sqref="A9"/>
    </sheetView>
  </sheetViews>
  <sheetFormatPr baseColWidth="10" defaultRowHeight="12.75" x14ac:dyDescent="0.2"/>
  <cols>
    <col min="1" max="1" width="131.5703125" style="523" customWidth="1"/>
    <col min="2" max="16384" width="11.42578125" style="523"/>
  </cols>
  <sheetData>
    <row r="1" spans="1:1" ht="20.25" x14ac:dyDescent="0.2">
      <c r="A1" s="522" t="s">
        <v>674</v>
      </c>
    </row>
    <row r="2" spans="1:1" ht="20.25" x14ac:dyDescent="0.2">
      <c r="A2" s="522" t="s">
        <v>405</v>
      </c>
    </row>
    <row r="3" spans="1:1" ht="15.75" x14ac:dyDescent="0.2">
      <c r="A3" s="524" t="s">
        <v>407</v>
      </c>
    </row>
    <row r="4" spans="1:1" x14ac:dyDescent="0.2">
      <c r="A4" s="525"/>
    </row>
    <row r="5" spans="1:1" ht="22.5" customHeight="1" x14ac:dyDescent="0.2">
      <c r="A5" s="526" t="s">
        <v>688</v>
      </c>
    </row>
    <row r="6" spans="1:1" ht="7.5" customHeight="1" thickBot="1" x14ac:dyDescent="0.25">
      <c r="A6" s="526"/>
    </row>
    <row r="7" spans="1:1" ht="46.5" customHeight="1" thickBot="1" x14ac:dyDescent="0.25">
      <c r="A7" s="527" t="s">
        <v>423</v>
      </c>
    </row>
    <row r="8" spans="1:1" ht="87" customHeight="1" x14ac:dyDescent="0.2">
      <c r="A8" s="1085" t="s">
        <v>811</v>
      </c>
    </row>
    <row r="9" spans="1:1" ht="87" customHeight="1" x14ac:dyDescent="0.2">
      <c r="A9" s="1086" t="s">
        <v>812</v>
      </c>
    </row>
    <row r="10" spans="1:1" ht="66.75" customHeight="1" x14ac:dyDescent="0.2">
      <c r="A10" s="529" t="s">
        <v>813</v>
      </c>
    </row>
    <row r="11" spans="1:1" ht="28.5" customHeight="1" x14ac:dyDescent="0.2">
      <c r="A11" s="529" t="s">
        <v>817</v>
      </c>
    </row>
    <row r="12" spans="1:1" ht="28.5" customHeight="1" x14ac:dyDescent="0.2">
      <c r="A12" s="529" t="s">
        <v>878</v>
      </c>
    </row>
    <row r="13" spans="1:1" ht="28.5" customHeight="1" x14ac:dyDescent="0.2">
      <c r="A13" s="529"/>
    </row>
    <row r="14" spans="1:1" ht="28.5" customHeight="1" x14ac:dyDescent="0.2">
      <c r="A14" s="529"/>
    </row>
    <row r="15" spans="1:1" ht="28.5" customHeight="1" x14ac:dyDescent="0.2">
      <c r="A15" s="529"/>
    </row>
    <row r="16" spans="1:1" ht="28.5" customHeight="1" thickBot="1" x14ac:dyDescent="0.25">
      <c r="A16" s="530"/>
    </row>
    <row r="17" spans="1:1" ht="33" customHeight="1" x14ac:dyDescent="0.2">
      <c r="A17" s="531"/>
    </row>
    <row r="18" spans="1:1" ht="24" customHeight="1" x14ac:dyDescent="0.2">
      <c r="A18" s="1111"/>
    </row>
    <row r="19" spans="1:1" ht="24" customHeight="1" x14ac:dyDescent="0.2">
      <c r="A19" s="1112"/>
    </row>
    <row r="20" spans="1:1" ht="24" customHeight="1" x14ac:dyDescent="0.2">
      <c r="A20" s="1112"/>
    </row>
    <row r="21" spans="1:1" ht="24" customHeight="1" x14ac:dyDescent="0.2">
      <c r="A21" s="1112"/>
    </row>
    <row r="22" spans="1:1" ht="24" customHeight="1" x14ac:dyDescent="0.2">
      <c r="A22" s="1112"/>
    </row>
    <row r="23" spans="1:1" ht="24" customHeight="1" x14ac:dyDescent="0.2">
      <c r="A23" s="1112"/>
    </row>
    <row r="24" spans="1:1" ht="24" customHeight="1" x14ac:dyDescent="0.2">
      <c r="A24" s="1112"/>
    </row>
    <row r="25" spans="1:1" ht="24" customHeight="1" thickBot="1" x14ac:dyDescent="0.25">
      <c r="A25" s="1113"/>
    </row>
    <row r="27" spans="1:1" x14ac:dyDescent="0.2">
      <c r="A27" s="528" t="s">
        <v>424</v>
      </c>
    </row>
  </sheetData>
  <sheetProtection password="EADF" sheet="1"/>
  <protectedRanges>
    <protectedRange sqref="A8:A25" name="Rango1"/>
  </protectedRanges>
  <mergeCells count="1">
    <mergeCell ref="A18:A25"/>
  </mergeCells>
  <phoneticPr fontId="60" type="noConversion"/>
  <pageMargins left="0.33" right="0.19" top="0.36" bottom="0.39" header="0.31496062992125984" footer="0.2"/>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6"/>
  <sheetViews>
    <sheetView view="pageBreakPreview" topLeftCell="A10" zoomScale="60" zoomScaleNormal="70" workbookViewId="0">
      <selection activeCell="V16" sqref="V16"/>
    </sheetView>
  </sheetViews>
  <sheetFormatPr baseColWidth="10" defaultColWidth="11.42578125" defaultRowHeight="15" x14ac:dyDescent="0.25"/>
  <cols>
    <col min="1" max="1" width="51" customWidth="1"/>
    <col min="2" max="2" width="21.7109375" customWidth="1"/>
    <col min="3" max="3" width="1" customWidth="1"/>
    <col min="4" max="4" width="10.5703125" customWidth="1"/>
    <col min="5" max="5" width="0.85546875" customWidth="1"/>
    <col min="6" max="6" width="10.5703125" customWidth="1"/>
    <col min="7" max="7" width="1" customWidth="1"/>
    <col min="8" max="8" width="10.5703125" customWidth="1"/>
    <col min="9" max="9" width="2.42578125" customWidth="1"/>
    <col min="10" max="10" width="10.5703125" customWidth="1"/>
    <col min="11" max="11" width="1" customWidth="1"/>
    <col min="12" max="12" width="10.5703125" customWidth="1"/>
    <col min="13" max="13" width="1" customWidth="1"/>
    <col min="14" max="14" width="10.5703125" customWidth="1"/>
    <col min="15" max="15" width="1" customWidth="1"/>
    <col min="16" max="16" width="10.5703125" customWidth="1"/>
    <col min="17" max="17" width="1" customWidth="1"/>
    <col min="18" max="18" width="10.5703125" customWidth="1"/>
    <col min="19" max="19" width="1" customWidth="1"/>
    <col min="21" max="21" width="0.85546875" customWidth="1"/>
    <col min="22" max="22" width="10.42578125" customWidth="1"/>
  </cols>
  <sheetData>
    <row r="1" spans="1:20" ht="20.25" x14ac:dyDescent="0.3">
      <c r="A1" s="1131" t="s">
        <v>674</v>
      </c>
      <c r="B1" s="1131"/>
      <c r="C1" s="1131"/>
      <c r="D1" s="1131"/>
      <c r="E1" s="1131"/>
      <c r="F1" s="1131"/>
      <c r="G1" s="1131"/>
      <c r="H1" s="1131"/>
      <c r="I1" s="1131"/>
      <c r="J1" s="1131"/>
      <c r="K1" s="1131"/>
      <c r="L1" s="1131"/>
      <c r="M1" s="1131"/>
      <c r="N1" s="1131"/>
      <c r="O1" s="1131"/>
      <c r="P1" s="1131"/>
      <c r="Q1" s="1131"/>
      <c r="R1" s="1131"/>
      <c r="S1" s="1131"/>
      <c r="T1" s="1131"/>
    </row>
    <row r="2" spans="1:20" ht="3.75" customHeight="1" x14ac:dyDescent="0.25"/>
    <row r="3" spans="1:20" ht="18" x14ac:dyDescent="0.25">
      <c r="A3" s="1129" t="s">
        <v>565</v>
      </c>
      <c r="B3" s="1129"/>
      <c r="C3" s="1129"/>
      <c r="D3" s="1129"/>
      <c r="E3" s="1129"/>
      <c r="F3" s="1129"/>
      <c r="G3" s="1129"/>
      <c r="H3" s="1129"/>
      <c r="I3" s="1129"/>
      <c r="J3" s="1129"/>
      <c r="K3" s="1129"/>
      <c r="L3" s="1129"/>
      <c r="M3" s="1129"/>
      <c r="N3" s="1129"/>
      <c r="O3" s="1129"/>
      <c r="P3" s="1129"/>
      <c r="Q3" s="1129"/>
      <c r="R3" s="1129"/>
      <c r="S3" s="1129"/>
      <c r="T3" s="1129"/>
    </row>
    <row r="4" spans="1:20" ht="18" x14ac:dyDescent="0.25">
      <c r="A4" s="1129" t="s">
        <v>691</v>
      </c>
      <c r="B4" s="1129"/>
      <c r="C4" s="1129"/>
      <c r="D4" s="1129"/>
      <c r="E4" s="1129"/>
      <c r="F4" s="1129"/>
      <c r="G4" s="1129"/>
      <c r="H4" s="1129"/>
      <c r="I4" s="1129"/>
      <c r="J4" s="1129"/>
      <c r="K4" s="1129"/>
      <c r="L4" s="1129"/>
      <c r="M4" s="1129"/>
      <c r="N4" s="1129"/>
      <c r="O4" s="1129"/>
      <c r="P4" s="1129"/>
      <c r="Q4" s="1129"/>
      <c r="R4" s="1129"/>
      <c r="S4" s="1129"/>
      <c r="T4" s="1129"/>
    </row>
    <row r="6" spans="1:20" ht="27" customHeight="1" x14ac:dyDescent="0.25">
      <c r="A6" s="75" t="s">
        <v>689</v>
      </c>
      <c r="B6" s="1132" t="str">
        <f>'A-Informacion_General'!C7</f>
        <v>Hospital Nacional de Metapán "Arturo Morales"</v>
      </c>
      <c r="C6" s="1133"/>
      <c r="D6" s="1133"/>
      <c r="E6" s="1133"/>
      <c r="F6" s="1133"/>
      <c r="G6" s="1133"/>
      <c r="H6" s="1133"/>
      <c r="I6" s="1133"/>
      <c r="J6" s="1133"/>
      <c r="K6" s="1133"/>
      <c r="L6" s="1133"/>
      <c r="M6" s="1133"/>
      <c r="N6" s="1133"/>
      <c r="O6" s="1133"/>
      <c r="P6" s="1133"/>
      <c r="Q6" s="1133"/>
      <c r="R6" s="1133"/>
      <c r="S6" s="1133"/>
      <c r="T6" s="1134"/>
    </row>
    <row r="7" spans="1:20" ht="7.5" customHeight="1" x14ac:dyDescent="0.25"/>
    <row r="8" spans="1:20" ht="27" customHeight="1" x14ac:dyDescent="0.25">
      <c r="A8" s="75" t="s">
        <v>675</v>
      </c>
      <c r="B8" s="1132" t="str">
        <f>'A-Informacion_General'!C17</f>
        <v>Dra. Katia Josefina Henríquez Rosales</v>
      </c>
      <c r="C8" s="1133"/>
      <c r="D8" s="1133"/>
      <c r="E8" s="1133"/>
      <c r="F8" s="1133"/>
      <c r="G8" s="1133"/>
      <c r="H8" s="1133"/>
      <c r="I8" s="1133"/>
      <c r="J8" s="1133"/>
      <c r="K8" s="1133"/>
      <c r="L8" s="1133"/>
      <c r="M8" s="1133"/>
      <c r="N8" s="1133"/>
      <c r="O8" s="1133"/>
      <c r="P8" s="1133"/>
      <c r="Q8" s="1133"/>
      <c r="R8" s="1133"/>
      <c r="S8" s="1133"/>
      <c r="T8" s="1134"/>
    </row>
    <row r="9" spans="1:20" ht="3" customHeight="1" x14ac:dyDescent="0.25"/>
    <row r="12" spans="1:20" ht="22.5" customHeight="1" x14ac:dyDescent="0.25">
      <c r="A12" s="1126" t="s">
        <v>425</v>
      </c>
      <c r="B12" s="1127"/>
      <c r="C12" s="1127"/>
      <c r="D12" s="1127"/>
      <c r="E12" s="1127"/>
      <c r="F12" s="1127"/>
      <c r="G12" s="1127"/>
      <c r="H12" s="1127"/>
      <c r="I12" s="1135"/>
      <c r="J12" s="1135"/>
      <c r="K12" s="1135"/>
      <c r="L12" s="1135"/>
      <c r="M12" s="1135"/>
      <c r="N12" s="1135"/>
      <c r="O12" s="1135"/>
      <c r="P12" s="1135"/>
      <c r="Q12" s="1135"/>
      <c r="R12" s="1135"/>
      <c r="S12" s="1135"/>
      <c r="T12" s="1135"/>
    </row>
    <row r="14" spans="1:20" ht="42.75" customHeight="1" x14ac:dyDescent="0.25">
      <c r="B14" s="76"/>
      <c r="C14" s="76"/>
      <c r="D14" s="1126" t="s">
        <v>426</v>
      </c>
      <c r="E14" s="1127"/>
      <c r="F14" s="1127"/>
      <c r="G14" s="1127"/>
      <c r="H14" s="1127"/>
      <c r="I14" s="76"/>
      <c r="J14" s="1126" t="s">
        <v>427</v>
      </c>
      <c r="K14" s="1127"/>
      <c r="L14" s="1127"/>
      <c r="M14" s="1127"/>
      <c r="N14" s="1127"/>
      <c r="P14" s="1128" t="s">
        <v>428</v>
      </c>
      <c r="Q14" s="1128"/>
      <c r="R14" s="1128"/>
      <c r="S14" s="1128"/>
      <c r="T14" s="1128"/>
    </row>
    <row r="15" spans="1:20" ht="3" customHeight="1" x14ac:dyDescent="0.25">
      <c r="A15" s="76"/>
      <c r="B15" s="76"/>
      <c r="C15" s="76"/>
      <c r="I15" s="76"/>
    </row>
    <row r="16" spans="1:20" ht="42.75" customHeight="1" x14ac:dyDescent="0.25">
      <c r="A16" s="1130" t="s">
        <v>429</v>
      </c>
      <c r="B16" s="1125"/>
      <c r="C16" s="76"/>
      <c r="D16" s="77">
        <v>6358</v>
      </c>
      <c r="F16" s="78"/>
      <c r="G16" s="78"/>
      <c r="H16" s="78"/>
      <c r="I16" s="76"/>
      <c r="J16" s="77">
        <v>11438</v>
      </c>
      <c r="L16" s="78"/>
      <c r="M16" s="78"/>
      <c r="N16" s="78"/>
      <c r="P16" s="79">
        <v>17796</v>
      </c>
      <c r="R16" s="78"/>
      <c r="S16" s="78"/>
      <c r="T16" s="78"/>
    </row>
    <row r="17" spans="1:20" ht="3" customHeight="1" x14ac:dyDescent="0.25">
      <c r="A17" s="76"/>
      <c r="B17" s="76"/>
      <c r="C17" s="76"/>
      <c r="I17" s="76"/>
    </row>
    <row r="18" spans="1:20" ht="35.25" customHeight="1" x14ac:dyDescent="0.25">
      <c r="A18" s="76"/>
      <c r="B18" s="76"/>
      <c r="C18" s="76"/>
      <c r="D18" s="80" t="s">
        <v>430</v>
      </c>
      <c r="E18" s="81"/>
      <c r="F18" s="80" t="s">
        <v>431</v>
      </c>
      <c r="G18" s="81"/>
      <c r="H18" s="80" t="s">
        <v>432</v>
      </c>
      <c r="I18" s="76"/>
      <c r="J18" s="80" t="s">
        <v>430</v>
      </c>
      <c r="K18" s="81"/>
      <c r="L18" s="80" t="s">
        <v>431</v>
      </c>
      <c r="M18" s="81"/>
      <c r="N18" s="80" t="s">
        <v>432</v>
      </c>
      <c r="P18" s="80" t="s">
        <v>430</v>
      </c>
      <c r="Q18" s="81"/>
      <c r="R18" s="80" t="s">
        <v>431</v>
      </c>
      <c r="S18" s="81"/>
      <c r="T18" s="80" t="s">
        <v>432</v>
      </c>
    </row>
    <row r="19" spans="1:20" ht="3" customHeight="1" x14ac:dyDescent="0.25">
      <c r="A19" s="76"/>
      <c r="B19" s="76"/>
      <c r="C19" s="76"/>
      <c r="D19" s="1"/>
      <c r="E19" s="1"/>
      <c r="F19" s="1"/>
      <c r="G19" s="1"/>
      <c r="H19" s="1"/>
      <c r="I19" s="76"/>
      <c r="J19" s="1"/>
      <c r="K19" s="1"/>
      <c r="L19" s="1"/>
      <c r="M19" s="1"/>
      <c r="N19" s="1"/>
    </row>
    <row r="20" spans="1:20" ht="39" customHeight="1" x14ac:dyDescent="0.25">
      <c r="A20" s="1125" t="s">
        <v>434</v>
      </c>
      <c r="B20" s="1125"/>
      <c r="C20" s="76"/>
      <c r="D20" s="82">
        <f>SUM(D22:D56)</f>
        <v>19636</v>
      </c>
      <c r="E20" s="7"/>
      <c r="F20" s="82">
        <f>SUM(F22:F56)</f>
        <v>19138</v>
      </c>
      <c r="G20" s="7"/>
      <c r="H20" s="82">
        <f>SUM(D20:F20)</f>
        <v>38774</v>
      </c>
      <c r="I20" s="7"/>
      <c r="J20" s="82">
        <f>SUM(J22:J56)</f>
        <v>18736</v>
      </c>
      <c r="K20" s="7"/>
      <c r="L20" s="82">
        <f>SUM(L22:L56)</f>
        <v>18262</v>
      </c>
      <c r="M20" s="7"/>
      <c r="N20" s="82">
        <f>SUM(J20:L20)</f>
        <v>36998</v>
      </c>
      <c r="O20" s="7"/>
      <c r="P20" s="83">
        <f>SUM(P22:P56)</f>
        <v>38372</v>
      </c>
      <c r="Q20" s="84"/>
      <c r="R20" s="83">
        <f>SUM(R22:R56)</f>
        <v>37400</v>
      </c>
      <c r="S20" s="84"/>
      <c r="T20" s="85">
        <f>SUM(P20:R20)</f>
        <v>75772</v>
      </c>
    </row>
    <row r="21" spans="1:20" ht="3" customHeight="1" x14ac:dyDescent="0.25">
      <c r="A21" s="76"/>
      <c r="B21" s="86"/>
      <c r="C21" s="76"/>
      <c r="D21" s="7"/>
      <c r="E21" s="7"/>
      <c r="F21" s="7"/>
      <c r="G21" s="7"/>
      <c r="H21" s="7"/>
      <c r="I21" s="7"/>
      <c r="J21" s="7"/>
      <c r="K21" s="7"/>
      <c r="L21" s="7"/>
      <c r="M21" s="7"/>
      <c r="N21" s="7"/>
      <c r="O21" s="7"/>
      <c r="P21" s="84"/>
      <c r="Q21" s="84"/>
      <c r="R21" s="84"/>
      <c r="S21" s="84"/>
      <c r="T21" s="87"/>
    </row>
    <row r="22" spans="1:20" ht="24" customHeight="1" x14ac:dyDescent="0.25">
      <c r="A22" s="76" t="s">
        <v>690</v>
      </c>
      <c r="B22" s="86"/>
      <c r="C22" s="76"/>
      <c r="D22" s="6">
        <v>2102</v>
      </c>
      <c r="E22" s="7"/>
      <c r="F22" s="6">
        <v>2190</v>
      </c>
      <c r="G22" s="7"/>
      <c r="H22" s="82">
        <f>SUM(D22:F22)</f>
        <v>4292</v>
      </c>
      <c r="I22" s="7"/>
      <c r="J22" s="6">
        <v>2009</v>
      </c>
      <c r="K22" s="7"/>
      <c r="L22" s="6">
        <v>2091</v>
      </c>
      <c r="M22" s="7"/>
      <c r="N22" s="82">
        <f>SUM(J22:L22)</f>
        <v>4100</v>
      </c>
      <c r="O22" s="7"/>
      <c r="P22" s="88">
        <f>D22+J22</f>
        <v>4111</v>
      </c>
      <c r="Q22" s="84"/>
      <c r="R22" s="88">
        <f>F22+L22</f>
        <v>4281</v>
      </c>
      <c r="S22" s="84"/>
      <c r="T22" s="85">
        <f>P22+R22</f>
        <v>8392</v>
      </c>
    </row>
    <row r="23" spans="1:20" ht="3" customHeight="1" x14ac:dyDescent="0.25">
      <c r="A23" s="76"/>
      <c r="B23" s="86"/>
      <c r="C23" s="76"/>
      <c r="D23" s="7"/>
      <c r="E23" s="7"/>
      <c r="F23" s="7"/>
      <c r="G23" s="7"/>
      <c r="H23" s="89"/>
      <c r="I23" s="7"/>
      <c r="J23" s="7"/>
      <c r="K23" s="7"/>
      <c r="L23" s="7"/>
      <c r="M23" s="7"/>
      <c r="N23" s="89"/>
      <c r="O23" s="7"/>
      <c r="P23" s="90"/>
      <c r="Q23" s="84"/>
      <c r="R23" s="90"/>
      <c r="S23" s="84"/>
      <c r="T23" s="91"/>
    </row>
    <row r="24" spans="1:20" ht="24" customHeight="1" x14ac:dyDescent="0.25">
      <c r="A24" s="76" t="s">
        <v>435</v>
      </c>
      <c r="B24" s="86"/>
      <c r="C24" s="76"/>
      <c r="D24" s="6">
        <v>2084</v>
      </c>
      <c r="E24" s="7"/>
      <c r="F24" s="6">
        <v>2166</v>
      </c>
      <c r="G24" s="7"/>
      <c r="H24" s="82">
        <f>SUM(D24:F24)</f>
        <v>4250</v>
      </c>
      <c r="I24" s="7"/>
      <c r="J24" s="6">
        <v>1991</v>
      </c>
      <c r="K24" s="7"/>
      <c r="L24" s="6">
        <v>2065</v>
      </c>
      <c r="M24" s="7"/>
      <c r="N24" s="82">
        <f>SUM(J24:L24)</f>
        <v>4056</v>
      </c>
      <c r="O24" s="7"/>
      <c r="P24" s="88">
        <f>D24+J24</f>
        <v>4075</v>
      </c>
      <c r="Q24" s="84"/>
      <c r="R24" s="88">
        <f>F24+L24</f>
        <v>4231</v>
      </c>
      <c r="S24" s="84"/>
      <c r="T24" s="85">
        <f>P24+R24</f>
        <v>8306</v>
      </c>
    </row>
    <row r="25" spans="1:20" ht="3" customHeight="1" x14ac:dyDescent="0.25">
      <c r="A25" s="76"/>
      <c r="B25" s="86"/>
      <c r="C25" s="76"/>
      <c r="D25" s="7"/>
      <c r="E25" s="7"/>
      <c r="F25" s="7"/>
      <c r="G25" s="7"/>
      <c r="H25" s="7"/>
      <c r="I25" s="7"/>
      <c r="J25" s="7"/>
      <c r="K25" s="7"/>
      <c r="L25" s="7"/>
      <c r="M25" s="7"/>
      <c r="N25" s="7"/>
      <c r="O25" s="7"/>
      <c r="P25" s="84"/>
      <c r="Q25" s="84"/>
      <c r="R25" s="84"/>
      <c r="S25" s="84"/>
      <c r="T25" s="87"/>
    </row>
    <row r="26" spans="1:20" ht="24" customHeight="1" x14ac:dyDescent="0.25">
      <c r="A26" s="76" t="s">
        <v>436</v>
      </c>
      <c r="B26" s="86"/>
      <c r="C26" s="76"/>
      <c r="D26" s="6">
        <v>1922</v>
      </c>
      <c r="E26" s="7">
        <v>1975</v>
      </c>
      <c r="F26" s="6">
        <v>1975</v>
      </c>
      <c r="G26" s="7"/>
      <c r="H26" s="82">
        <f>SUM(D26:F26)</f>
        <v>5872</v>
      </c>
      <c r="I26" s="7"/>
      <c r="J26" s="6">
        <v>1839</v>
      </c>
      <c r="K26" s="7"/>
      <c r="L26" s="6">
        <v>1883</v>
      </c>
      <c r="M26" s="7"/>
      <c r="N26" s="82">
        <f>SUM(J26:L26)</f>
        <v>3722</v>
      </c>
      <c r="O26" s="7"/>
      <c r="P26" s="88">
        <f>D26+J26</f>
        <v>3761</v>
      </c>
      <c r="Q26" s="84"/>
      <c r="R26" s="88">
        <f>F26+L26</f>
        <v>3858</v>
      </c>
      <c r="S26" s="84"/>
      <c r="T26" s="85">
        <f>P26+R26</f>
        <v>7619</v>
      </c>
    </row>
    <row r="27" spans="1:20" ht="3" customHeight="1" x14ac:dyDescent="0.25">
      <c r="A27" s="76"/>
      <c r="B27" s="86"/>
      <c r="C27" s="76"/>
      <c r="D27" s="89"/>
      <c r="E27" s="7"/>
      <c r="F27" s="89"/>
      <c r="G27" s="7"/>
      <c r="H27" s="89"/>
      <c r="I27" s="7"/>
      <c r="J27" s="89"/>
      <c r="K27" s="7"/>
      <c r="L27" s="89"/>
      <c r="M27" s="7"/>
      <c r="N27" s="89"/>
      <c r="O27" s="7"/>
      <c r="P27" s="90"/>
      <c r="Q27" s="84"/>
      <c r="R27" s="90"/>
      <c r="S27" s="84"/>
      <c r="T27" s="91"/>
    </row>
    <row r="28" spans="1:20" ht="24" customHeight="1" x14ac:dyDescent="0.25">
      <c r="A28" s="76" t="s">
        <v>437</v>
      </c>
      <c r="B28" s="86"/>
      <c r="C28" s="76"/>
      <c r="D28" s="6">
        <v>1923</v>
      </c>
      <c r="E28" s="7"/>
      <c r="F28" s="6">
        <v>1971</v>
      </c>
      <c r="G28" s="7"/>
      <c r="H28" s="82">
        <f>SUM(D28:F28)</f>
        <v>3894</v>
      </c>
      <c r="I28" s="7"/>
      <c r="J28" s="6">
        <v>1840</v>
      </c>
      <c r="K28" s="7"/>
      <c r="L28" s="6">
        <v>1884</v>
      </c>
      <c r="M28" s="7"/>
      <c r="N28" s="82">
        <f>SUM(J28:L28)</f>
        <v>3724</v>
      </c>
      <c r="O28" s="7"/>
      <c r="P28" s="88">
        <f>D28+J28</f>
        <v>3763</v>
      </c>
      <c r="Q28" s="84"/>
      <c r="R28" s="88">
        <f>F28+L28</f>
        <v>3855</v>
      </c>
      <c r="S28" s="84"/>
      <c r="T28" s="85">
        <f>P28+R28</f>
        <v>7618</v>
      </c>
    </row>
    <row r="29" spans="1:20" ht="3" customHeight="1" x14ac:dyDescent="0.25">
      <c r="A29" s="76"/>
      <c r="B29" s="86"/>
      <c r="C29" s="76"/>
      <c r="D29" s="7"/>
      <c r="E29" s="7"/>
      <c r="F29" s="7"/>
      <c r="G29" s="7"/>
      <c r="H29" s="7"/>
      <c r="I29" s="7"/>
      <c r="J29" s="7"/>
      <c r="K29" s="7"/>
      <c r="L29" s="7"/>
      <c r="M29" s="7"/>
      <c r="N29" s="7"/>
      <c r="O29" s="7"/>
      <c r="P29" s="84"/>
      <c r="Q29" s="84"/>
      <c r="R29" s="84"/>
      <c r="S29" s="84"/>
      <c r="T29" s="87"/>
    </row>
    <row r="30" spans="1:20" ht="24" customHeight="1" x14ac:dyDescent="0.25">
      <c r="A30" s="76" t="s">
        <v>438</v>
      </c>
      <c r="B30" s="86"/>
      <c r="C30" s="76"/>
      <c r="D30" s="6">
        <v>1750</v>
      </c>
      <c r="E30" s="7"/>
      <c r="F30" s="6">
        <v>1760</v>
      </c>
      <c r="G30" s="7"/>
      <c r="H30" s="82">
        <f>SUM(D30:F30)</f>
        <v>3510</v>
      </c>
      <c r="I30" s="7"/>
      <c r="J30" s="6">
        <v>1678</v>
      </c>
      <c r="K30" s="7"/>
      <c r="L30" s="6">
        <v>1677</v>
      </c>
      <c r="M30" s="7"/>
      <c r="N30" s="82">
        <f>SUM(J30:L30)</f>
        <v>3355</v>
      </c>
      <c r="O30" s="7"/>
      <c r="P30" s="88">
        <f>D30+J30</f>
        <v>3428</v>
      </c>
      <c r="Q30" s="84"/>
      <c r="R30" s="88">
        <f>F30+L30</f>
        <v>3437</v>
      </c>
      <c r="S30" s="84"/>
      <c r="T30" s="85">
        <f>P30+R30</f>
        <v>6865</v>
      </c>
    </row>
    <row r="31" spans="1:20" ht="3" customHeight="1" x14ac:dyDescent="0.25">
      <c r="A31" s="76"/>
      <c r="B31" s="86"/>
      <c r="C31" s="76"/>
      <c r="D31" s="89"/>
      <c r="E31" s="7"/>
      <c r="F31" s="89"/>
      <c r="G31" s="7"/>
      <c r="H31" s="7"/>
      <c r="I31" s="7"/>
      <c r="J31" s="7"/>
      <c r="K31" s="7"/>
      <c r="L31" s="7"/>
      <c r="M31" s="7"/>
      <c r="N31" s="7"/>
      <c r="O31" s="7"/>
      <c r="P31" s="84"/>
      <c r="Q31" s="84"/>
      <c r="R31" s="84"/>
      <c r="S31" s="84"/>
      <c r="T31" s="87"/>
    </row>
    <row r="32" spans="1:20" ht="24" customHeight="1" x14ac:dyDescent="0.25">
      <c r="A32" s="76" t="s">
        <v>439</v>
      </c>
      <c r="B32" s="86"/>
      <c r="C32" s="76"/>
      <c r="D32" s="6">
        <v>1751</v>
      </c>
      <c r="E32" s="7"/>
      <c r="F32" s="6">
        <v>1761</v>
      </c>
      <c r="G32" s="7"/>
      <c r="H32" s="82">
        <f>SUM(D32:F32)</f>
        <v>3512</v>
      </c>
      <c r="I32" s="7"/>
      <c r="J32" s="6">
        <v>1677</v>
      </c>
      <c r="K32" s="7"/>
      <c r="L32" s="6">
        <v>1678</v>
      </c>
      <c r="M32" s="7"/>
      <c r="N32" s="82">
        <f>SUM(J32:L32)</f>
        <v>3355</v>
      </c>
      <c r="O32" s="7"/>
      <c r="P32" s="88">
        <f>D32+J32</f>
        <v>3428</v>
      </c>
      <c r="Q32" s="84"/>
      <c r="R32" s="88">
        <f>F32+L32</f>
        <v>3439</v>
      </c>
      <c r="S32" s="84"/>
      <c r="T32" s="85">
        <f>P32+R32</f>
        <v>6867</v>
      </c>
    </row>
    <row r="33" spans="1:20" ht="3" customHeight="1" x14ac:dyDescent="0.25">
      <c r="A33" s="76"/>
      <c r="B33" s="86"/>
      <c r="C33" s="76"/>
      <c r="D33" s="7"/>
      <c r="E33" s="7"/>
      <c r="F33" s="7"/>
      <c r="G33" s="7"/>
      <c r="H33" s="7"/>
      <c r="I33" s="7"/>
      <c r="J33" s="89"/>
      <c r="K33" s="7"/>
      <c r="L33" s="89"/>
      <c r="M33" s="7"/>
      <c r="N33" s="7"/>
      <c r="O33" s="7"/>
      <c r="P33" s="84"/>
      <c r="Q33" s="84"/>
      <c r="R33" s="84"/>
      <c r="S33" s="84"/>
      <c r="T33" s="87"/>
    </row>
    <row r="34" spans="1:20" ht="24" customHeight="1" x14ac:dyDescent="0.25">
      <c r="A34" s="76" t="s">
        <v>440</v>
      </c>
      <c r="B34" s="86"/>
      <c r="C34" s="76"/>
      <c r="D34" s="6">
        <v>1512</v>
      </c>
      <c r="E34" s="7"/>
      <c r="F34" s="6">
        <v>1468</v>
      </c>
      <c r="G34" s="7"/>
      <c r="H34" s="82">
        <f>SUM(D34:F34)</f>
        <v>2980</v>
      </c>
      <c r="I34" s="7"/>
      <c r="J34" s="6">
        <v>1444</v>
      </c>
      <c r="K34" s="7"/>
      <c r="L34" s="6">
        <v>1404</v>
      </c>
      <c r="M34" s="7"/>
      <c r="N34" s="82">
        <f>SUM(J34:L34)</f>
        <v>2848</v>
      </c>
      <c r="O34" s="7"/>
      <c r="P34" s="88">
        <f>D34+J34</f>
        <v>2956</v>
      </c>
      <c r="Q34" s="84"/>
      <c r="R34" s="88">
        <f>F34+L34</f>
        <v>2872</v>
      </c>
      <c r="S34" s="84"/>
      <c r="T34" s="85">
        <f>P34+R34</f>
        <v>5828</v>
      </c>
    </row>
    <row r="35" spans="1:20" ht="3" customHeight="1" x14ac:dyDescent="0.25">
      <c r="A35" s="76"/>
      <c r="B35" s="86"/>
      <c r="C35" s="76"/>
      <c r="D35" s="89"/>
      <c r="E35" s="7"/>
      <c r="F35" s="89"/>
      <c r="G35" s="7"/>
      <c r="H35" s="7"/>
      <c r="I35" s="7"/>
      <c r="J35" s="7"/>
      <c r="K35" s="7"/>
      <c r="L35" s="7"/>
      <c r="M35" s="7"/>
      <c r="N35" s="7"/>
      <c r="O35" s="7"/>
      <c r="P35" s="84"/>
      <c r="Q35" s="84"/>
      <c r="R35" s="84"/>
      <c r="S35" s="84"/>
      <c r="T35" s="87"/>
    </row>
    <row r="36" spans="1:20" ht="24" customHeight="1" x14ac:dyDescent="0.25">
      <c r="A36" s="76" t="s">
        <v>441</v>
      </c>
      <c r="B36" s="86"/>
      <c r="C36" s="76"/>
      <c r="D36" s="6">
        <v>1514</v>
      </c>
      <c r="E36" s="7"/>
      <c r="F36" s="6">
        <v>1469</v>
      </c>
      <c r="G36" s="7"/>
      <c r="H36" s="82">
        <f>SUM(D36:F36)</f>
        <v>2983</v>
      </c>
      <c r="I36" s="7"/>
      <c r="J36" s="6">
        <v>1446</v>
      </c>
      <c r="K36" s="7"/>
      <c r="L36" s="6">
        <v>1407</v>
      </c>
      <c r="M36" s="7"/>
      <c r="N36" s="82">
        <f>SUM(J36:L36)</f>
        <v>2853</v>
      </c>
      <c r="O36" s="7"/>
      <c r="P36" s="88">
        <f>D36+J36</f>
        <v>2960</v>
      </c>
      <c r="Q36" s="84"/>
      <c r="R36" s="88">
        <f>F36+L36</f>
        <v>2876</v>
      </c>
      <c r="S36" s="84"/>
      <c r="T36" s="85">
        <f>P36+R36</f>
        <v>5836</v>
      </c>
    </row>
    <row r="37" spans="1:20" ht="3" customHeight="1" x14ac:dyDescent="0.25">
      <c r="A37" s="76"/>
      <c r="B37" s="86"/>
      <c r="C37" s="76"/>
      <c r="D37" s="7"/>
      <c r="E37" s="7"/>
      <c r="F37" s="7"/>
      <c r="G37" s="7"/>
      <c r="H37" s="7"/>
      <c r="I37" s="7"/>
      <c r="J37" s="7"/>
      <c r="K37" s="7"/>
      <c r="L37" s="7"/>
      <c r="M37" s="7"/>
      <c r="N37" s="7"/>
      <c r="O37" s="7"/>
      <c r="P37" s="84"/>
      <c r="Q37" s="84"/>
      <c r="R37" s="84"/>
      <c r="S37" s="84"/>
      <c r="T37" s="87"/>
    </row>
    <row r="38" spans="1:20" ht="24" customHeight="1" x14ac:dyDescent="0.25">
      <c r="A38" s="76" t="s">
        <v>442</v>
      </c>
      <c r="B38" s="86"/>
      <c r="C38" s="76"/>
      <c r="D38" s="6">
        <v>955</v>
      </c>
      <c r="E38" s="7"/>
      <c r="F38" s="6">
        <v>832</v>
      </c>
      <c r="G38" s="7"/>
      <c r="H38" s="82">
        <f>SUM(D38:F38)</f>
        <v>1787</v>
      </c>
      <c r="I38" s="7"/>
      <c r="J38" s="6">
        <v>910</v>
      </c>
      <c r="K38" s="7"/>
      <c r="L38" s="6">
        <v>795</v>
      </c>
      <c r="M38" s="7"/>
      <c r="N38" s="82">
        <f>SUM(J38:L38)</f>
        <v>1705</v>
      </c>
      <c r="O38" s="7"/>
      <c r="P38" s="88">
        <f>D38+J38</f>
        <v>1865</v>
      </c>
      <c r="Q38" s="84"/>
      <c r="R38" s="88">
        <f>F38+L38</f>
        <v>1627</v>
      </c>
      <c r="S38" s="84"/>
      <c r="T38" s="85">
        <f>P38+R38</f>
        <v>3492</v>
      </c>
    </row>
    <row r="39" spans="1:20" ht="3" customHeight="1" x14ac:dyDescent="0.25">
      <c r="A39" s="76"/>
      <c r="B39" s="86"/>
      <c r="C39" s="76"/>
      <c r="D39" s="89"/>
      <c r="E39" s="7"/>
      <c r="F39" s="89"/>
      <c r="G39" s="7"/>
      <c r="H39" s="7"/>
      <c r="I39" s="7"/>
      <c r="J39" s="89"/>
      <c r="K39" s="7"/>
      <c r="L39" s="89"/>
      <c r="M39" s="7"/>
      <c r="N39" s="7"/>
      <c r="O39" s="7"/>
      <c r="P39" s="84"/>
      <c r="Q39" s="84"/>
      <c r="R39" s="84"/>
      <c r="S39" s="84"/>
      <c r="T39" s="87"/>
    </row>
    <row r="40" spans="1:20" ht="24" customHeight="1" x14ac:dyDescent="0.25">
      <c r="A40" s="76" t="s">
        <v>443</v>
      </c>
      <c r="B40" s="86"/>
      <c r="C40" s="76"/>
      <c r="D40" s="6">
        <v>956</v>
      </c>
      <c r="E40" s="7"/>
      <c r="F40" s="6">
        <v>833</v>
      </c>
      <c r="G40" s="7"/>
      <c r="H40" s="82">
        <f>SUM(D40:F40)</f>
        <v>1789</v>
      </c>
      <c r="I40" s="7"/>
      <c r="J40" s="6">
        <v>912</v>
      </c>
      <c r="K40" s="7"/>
      <c r="L40" s="6">
        <v>800</v>
      </c>
      <c r="M40" s="7"/>
      <c r="N40" s="82">
        <f>SUM(J40:L40)</f>
        <v>1712</v>
      </c>
      <c r="O40" s="7"/>
      <c r="P40" s="88">
        <f>D40+J40</f>
        <v>1868</v>
      </c>
      <c r="Q40" s="84"/>
      <c r="R40" s="88">
        <f>F40+L40</f>
        <v>1633</v>
      </c>
      <c r="S40" s="84"/>
      <c r="T40" s="85">
        <f>P40+R40</f>
        <v>3501</v>
      </c>
    </row>
    <row r="41" spans="1:20" ht="3" customHeight="1" x14ac:dyDescent="0.25">
      <c r="A41" s="76"/>
      <c r="B41" s="86"/>
      <c r="C41" s="76"/>
      <c r="D41" s="7"/>
      <c r="E41" s="7"/>
      <c r="F41" s="7"/>
      <c r="G41" s="7"/>
      <c r="H41" s="7"/>
      <c r="I41" s="7"/>
      <c r="J41" s="7"/>
      <c r="K41" s="7"/>
      <c r="L41" s="7"/>
      <c r="M41" s="7"/>
      <c r="N41" s="7"/>
      <c r="O41" s="7"/>
      <c r="P41" s="84"/>
      <c r="Q41" s="84"/>
      <c r="R41" s="84"/>
      <c r="S41" s="84"/>
      <c r="T41" s="87"/>
    </row>
    <row r="42" spans="1:20" ht="24" customHeight="1" x14ac:dyDescent="0.25">
      <c r="A42" s="76" t="s">
        <v>444</v>
      </c>
      <c r="B42" s="86"/>
      <c r="C42" s="76"/>
      <c r="D42" s="6">
        <v>694</v>
      </c>
      <c r="E42" s="7"/>
      <c r="F42" s="6">
        <v>614</v>
      </c>
      <c r="G42" s="7"/>
      <c r="H42" s="82">
        <f>SUM(D42:F42)</f>
        <v>1308</v>
      </c>
      <c r="I42" s="7"/>
      <c r="J42" s="6">
        <v>659</v>
      </c>
      <c r="K42" s="7"/>
      <c r="L42" s="6">
        <v>585</v>
      </c>
      <c r="M42" s="7"/>
      <c r="N42" s="82">
        <f>SUM(J42:L42)</f>
        <v>1244</v>
      </c>
      <c r="O42" s="7"/>
      <c r="P42" s="88">
        <f>D42+J42</f>
        <v>1353</v>
      </c>
      <c r="Q42" s="84"/>
      <c r="R42" s="88">
        <f>F42+L42</f>
        <v>1199</v>
      </c>
      <c r="S42" s="84"/>
      <c r="T42" s="85">
        <f>P42+R42</f>
        <v>2552</v>
      </c>
    </row>
    <row r="43" spans="1:20" ht="3" customHeight="1" x14ac:dyDescent="0.25">
      <c r="A43" s="76"/>
      <c r="B43" s="86"/>
      <c r="C43" s="76"/>
      <c r="D43" s="89"/>
      <c r="E43" s="7"/>
      <c r="F43" s="89"/>
      <c r="G43" s="7"/>
      <c r="H43" s="7"/>
      <c r="I43" s="7"/>
      <c r="J43" s="7"/>
      <c r="K43" s="7"/>
      <c r="L43" s="7"/>
      <c r="M43" s="7"/>
      <c r="N43" s="7"/>
      <c r="O43" s="7"/>
      <c r="P43" s="84"/>
      <c r="Q43" s="84"/>
      <c r="R43" s="84"/>
      <c r="S43" s="84"/>
      <c r="T43" s="87"/>
    </row>
    <row r="44" spans="1:20" ht="24" customHeight="1" x14ac:dyDescent="0.25">
      <c r="A44" s="76" t="s">
        <v>445</v>
      </c>
      <c r="B44" s="86"/>
      <c r="C44" s="76"/>
      <c r="D44" s="6">
        <v>696</v>
      </c>
      <c r="E44" s="7"/>
      <c r="F44" s="6">
        <v>617</v>
      </c>
      <c r="G44" s="7"/>
      <c r="H44" s="82">
        <f>SUM(D44:F44)</f>
        <v>1313</v>
      </c>
      <c r="I44" s="7"/>
      <c r="J44" s="6">
        <v>658</v>
      </c>
      <c r="K44" s="7"/>
      <c r="L44" s="6">
        <v>586</v>
      </c>
      <c r="M44" s="7"/>
      <c r="N44" s="82">
        <f>SUM(J44:L44)</f>
        <v>1244</v>
      </c>
      <c r="O44" s="7"/>
      <c r="P44" s="88">
        <f>D44+J44</f>
        <v>1354</v>
      </c>
      <c r="Q44" s="84"/>
      <c r="R44" s="88">
        <f>F44+L44</f>
        <v>1203</v>
      </c>
      <c r="S44" s="84"/>
      <c r="T44" s="85">
        <f>P44+R44</f>
        <v>2557</v>
      </c>
    </row>
    <row r="45" spans="1:20" ht="3" customHeight="1" x14ac:dyDescent="0.25">
      <c r="A45" s="76"/>
      <c r="B45" s="86"/>
      <c r="C45" s="76"/>
      <c r="D45" s="7"/>
      <c r="E45" s="7"/>
      <c r="F45" s="7"/>
      <c r="G45" s="7"/>
      <c r="H45" s="7"/>
      <c r="I45" s="7"/>
      <c r="J45" s="89"/>
      <c r="K45" s="7"/>
      <c r="L45" s="92"/>
      <c r="M45" s="7"/>
      <c r="N45" s="7"/>
      <c r="O45" s="7"/>
      <c r="P45" s="84"/>
      <c r="Q45" s="84"/>
      <c r="R45" s="84"/>
      <c r="S45" s="84"/>
      <c r="T45" s="87"/>
    </row>
    <row r="46" spans="1:20" ht="24" customHeight="1" x14ac:dyDescent="0.25">
      <c r="A46" s="86" t="s">
        <v>446</v>
      </c>
      <c r="B46" s="86"/>
      <c r="C46" s="76"/>
      <c r="D46" s="6">
        <v>355</v>
      </c>
      <c r="E46" s="7"/>
      <c r="F46" s="6">
        <v>296</v>
      </c>
      <c r="G46" s="7"/>
      <c r="H46" s="82">
        <f>SUM(D46:F46)</f>
        <v>651</v>
      </c>
      <c r="I46" s="7"/>
      <c r="J46" s="6">
        <v>334</v>
      </c>
      <c r="K46" s="7"/>
      <c r="L46" s="6">
        <v>281</v>
      </c>
      <c r="M46" s="7"/>
      <c r="N46" s="82">
        <f>SUM(J46:L46)</f>
        <v>615</v>
      </c>
      <c r="O46" s="7"/>
      <c r="P46" s="88">
        <f>D46+J46</f>
        <v>689</v>
      </c>
      <c r="Q46" s="84"/>
      <c r="R46" s="88">
        <f>F46+L46</f>
        <v>577</v>
      </c>
      <c r="S46" s="84"/>
      <c r="T46" s="85">
        <f>P46+R46</f>
        <v>1266</v>
      </c>
    </row>
    <row r="47" spans="1:20" ht="3" customHeight="1" x14ac:dyDescent="0.25">
      <c r="A47" s="86"/>
      <c r="B47" s="86"/>
      <c r="C47" s="76"/>
      <c r="D47" s="89"/>
      <c r="E47" s="7"/>
      <c r="F47" s="89"/>
      <c r="G47" s="7"/>
      <c r="H47" s="7"/>
      <c r="I47" s="7"/>
      <c r="J47" s="7"/>
      <c r="K47" s="7"/>
      <c r="L47" s="7"/>
      <c r="M47" s="7"/>
      <c r="N47" s="7"/>
      <c r="O47" s="7"/>
      <c r="P47" s="84"/>
      <c r="Q47" s="84"/>
      <c r="R47" s="84"/>
      <c r="S47" s="84"/>
      <c r="T47" s="87"/>
    </row>
    <row r="48" spans="1:20" ht="24" customHeight="1" x14ac:dyDescent="0.25">
      <c r="A48" s="86" t="s">
        <v>447</v>
      </c>
      <c r="B48" s="4"/>
      <c r="D48" s="6">
        <v>356</v>
      </c>
      <c r="E48" s="7"/>
      <c r="F48" s="6">
        <v>295</v>
      </c>
      <c r="G48" s="7"/>
      <c r="H48" s="82">
        <f>SUM(D48:F48)</f>
        <v>651</v>
      </c>
      <c r="I48" s="7"/>
      <c r="J48" s="6">
        <v>336</v>
      </c>
      <c r="K48" s="7"/>
      <c r="L48" s="6">
        <v>285</v>
      </c>
      <c r="M48" s="7"/>
      <c r="N48" s="82">
        <f>SUM(J48:L48)</f>
        <v>621</v>
      </c>
      <c r="O48" s="7"/>
      <c r="P48" s="88">
        <f>D48+J48</f>
        <v>692</v>
      </c>
      <c r="Q48" s="84"/>
      <c r="R48" s="88">
        <f>F48+L48</f>
        <v>580</v>
      </c>
      <c r="S48" s="84"/>
      <c r="T48" s="85">
        <f>P48+R48</f>
        <v>1272</v>
      </c>
    </row>
    <row r="49" spans="1:21" ht="3" customHeight="1" x14ac:dyDescent="0.25">
      <c r="A49" s="86"/>
      <c r="B49" s="86"/>
      <c r="C49" s="76"/>
      <c r="D49" s="7"/>
      <c r="E49" s="7"/>
      <c r="F49" s="7"/>
      <c r="G49" s="7"/>
      <c r="H49" s="7"/>
      <c r="I49" s="7"/>
      <c r="J49" s="7"/>
      <c r="K49" s="7"/>
      <c r="L49" s="7"/>
      <c r="M49" s="7"/>
      <c r="N49" s="7"/>
      <c r="O49" s="7"/>
      <c r="P49" s="84"/>
      <c r="Q49" s="84"/>
      <c r="R49" s="84"/>
      <c r="S49" s="84"/>
      <c r="T49" s="87"/>
    </row>
    <row r="50" spans="1:21" ht="24" customHeight="1" x14ac:dyDescent="0.25">
      <c r="A50" s="86" t="s">
        <v>448</v>
      </c>
      <c r="B50" s="86"/>
      <c r="C50" s="76"/>
      <c r="D50" s="6">
        <v>355</v>
      </c>
      <c r="E50" s="7"/>
      <c r="F50" s="6">
        <v>298</v>
      </c>
      <c r="G50" s="7"/>
      <c r="H50" s="82">
        <f>SUM(D50:F50)</f>
        <v>653</v>
      </c>
      <c r="I50" s="7"/>
      <c r="J50" s="6">
        <v>334</v>
      </c>
      <c r="K50" s="7"/>
      <c r="L50" s="6">
        <v>281</v>
      </c>
      <c r="M50" s="7"/>
      <c r="N50" s="82">
        <f>SUM(J50:L50)</f>
        <v>615</v>
      </c>
      <c r="O50" s="7"/>
      <c r="P50" s="88">
        <f>D50+J50</f>
        <v>689</v>
      </c>
      <c r="Q50" s="84"/>
      <c r="R50" s="88">
        <f>F50+L50</f>
        <v>579</v>
      </c>
      <c r="S50" s="84"/>
      <c r="T50" s="85">
        <f>P50+R50</f>
        <v>1268</v>
      </c>
    </row>
    <row r="51" spans="1:21" ht="3" customHeight="1" x14ac:dyDescent="0.25">
      <c r="A51" s="86"/>
      <c r="B51" s="86"/>
      <c r="C51" s="76"/>
      <c r="D51" s="89"/>
      <c r="E51" s="7"/>
      <c r="F51" s="89"/>
      <c r="G51" s="7"/>
      <c r="H51" s="89"/>
      <c r="I51" s="7"/>
      <c r="J51" s="89"/>
      <c r="K51" s="7"/>
      <c r="L51" s="89"/>
      <c r="M51" s="7"/>
      <c r="N51" s="89"/>
      <c r="O51" s="7"/>
      <c r="P51" s="90"/>
      <c r="Q51" s="84"/>
      <c r="R51" s="90"/>
      <c r="S51" s="84"/>
      <c r="T51" s="91"/>
    </row>
    <row r="52" spans="1:21" ht="24" customHeight="1" x14ac:dyDescent="0.25">
      <c r="A52" s="86" t="s">
        <v>449</v>
      </c>
      <c r="B52" s="86"/>
      <c r="C52" s="76"/>
      <c r="D52" s="6">
        <v>356</v>
      </c>
      <c r="E52" s="7"/>
      <c r="F52" s="6">
        <v>295</v>
      </c>
      <c r="G52" s="7"/>
      <c r="H52" s="82">
        <f>SUM(D52:F52)</f>
        <v>651</v>
      </c>
      <c r="I52" s="7"/>
      <c r="J52" s="6">
        <v>335</v>
      </c>
      <c r="K52" s="7"/>
      <c r="L52" s="6">
        <v>280</v>
      </c>
      <c r="M52" s="7"/>
      <c r="N52" s="82">
        <f>SUM(J52:L52)</f>
        <v>615</v>
      </c>
      <c r="O52" s="7"/>
      <c r="P52" s="88">
        <f>D52+J52</f>
        <v>691</v>
      </c>
      <c r="Q52" s="84"/>
      <c r="R52" s="88">
        <f>F52+L52</f>
        <v>575</v>
      </c>
      <c r="S52" s="84"/>
      <c r="T52" s="85">
        <f>P52+R52</f>
        <v>1266</v>
      </c>
    </row>
    <row r="53" spans="1:21" ht="3" customHeight="1" x14ac:dyDescent="0.25">
      <c r="A53" s="86"/>
      <c r="B53" s="86"/>
      <c r="C53" s="76"/>
      <c r="D53" s="89"/>
      <c r="E53" s="7"/>
      <c r="F53" s="89"/>
      <c r="G53" s="7"/>
      <c r="H53" s="89"/>
      <c r="I53" s="7"/>
      <c r="J53" s="89"/>
      <c r="K53" s="7"/>
      <c r="L53" s="89"/>
      <c r="M53" s="7"/>
      <c r="N53" s="89"/>
      <c r="O53" s="7"/>
      <c r="P53" s="90"/>
      <c r="Q53" s="84"/>
      <c r="R53" s="90"/>
      <c r="S53" s="84"/>
      <c r="T53" s="91"/>
    </row>
    <row r="54" spans="1:21" ht="24" customHeight="1" x14ac:dyDescent="0.25">
      <c r="A54" s="86" t="s">
        <v>450</v>
      </c>
      <c r="B54" s="86"/>
      <c r="C54" s="76"/>
      <c r="D54" s="6">
        <v>355</v>
      </c>
      <c r="E54" s="7"/>
      <c r="F54" s="6">
        <v>298</v>
      </c>
      <c r="G54" s="7"/>
      <c r="H54" s="82">
        <f>SUM(D54:F54)</f>
        <v>653</v>
      </c>
      <c r="I54" s="7"/>
      <c r="J54" s="6">
        <v>334</v>
      </c>
      <c r="K54" s="7"/>
      <c r="L54" s="6">
        <v>280</v>
      </c>
      <c r="M54" s="7"/>
      <c r="N54" s="82">
        <f>SUM(J54:L54)</f>
        <v>614</v>
      </c>
      <c r="O54" s="7"/>
      <c r="P54" s="88">
        <f>D54+J54</f>
        <v>689</v>
      </c>
      <c r="Q54" s="84"/>
      <c r="R54" s="88">
        <f>F54+L54</f>
        <v>578</v>
      </c>
      <c r="S54" s="84"/>
      <c r="T54" s="85">
        <f>P54+R54</f>
        <v>1267</v>
      </c>
    </row>
    <row r="55" spans="1:21" ht="3" customHeight="1" x14ac:dyDescent="0.25">
      <c r="A55" s="86"/>
      <c r="B55" s="86"/>
      <c r="C55" s="76"/>
      <c r="D55" s="89"/>
      <c r="E55" s="7"/>
      <c r="F55" s="92"/>
      <c r="G55" s="7"/>
      <c r="H55" s="89"/>
      <c r="I55" s="7"/>
      <c r="J55" s="89"/>
      <c r="K55" s="7"/>
      <c r="L55" s="92"/>
      <c r="M55" s="7"/>
      <c r="N55" s="89"/>
      <c r="O55" s="7"/>
      <c r="P55" s="90"/>
      <c r="Q55" s="84"/>
      <c r="R55" s="90"/>
      <c r="S55" s="84"/>
      <c r="T55" s="91"/>
    </row>
    <row r="56" spans="1:21" ht="12.75" customHeight="1" x14ac:dyDescent="0.25">
      <c r="A56" s="78"/>
      <c r="B56" s="78"/>
      <c r="C56" s="78"/>
      <c r="D56" s="93"/>
      <c r="E56" s="93"/>
      <c r="F56" s="93"/>
      <c r="G56" s="93"/>
      <c r="H56" s="93"/>
      <c r="I56" s="93"/>
      <c r="J56" s="93"/>
      <c r="K56" s="93"/>
      <c r="L56" s="93"/>
      <c r="M56" s="93"/>
      <c r="N56" s="93"/>
      <c r="O56" s="93"/>
      <c r="P56" s="93"/>
      <c r="Q56" s="93"/>
      <c r="R56" s="93"/>
      <c r="S56" s="93"/>
      <c r="T56" s="93"/>
      <c r="U56" s="78"/>
    </row>
    <row r="57" spans="1:21" ht="3" customHeight="1" x14ac:dyDescent="0.25">
      <c r="B57" s="4"/>
      <c r="D57" s="7"/>
      <c r="E57" s="7"/>
      <c r="F57" s="7"/>
      <c r="G57" s="7"/>
      <c r="H57" s="7"/>
      <c r="I57" s="7"/>
      <c r="J57" s="7"/>
      <c r="K57" s="7"/>
      <c r="L57" s="7"/>
      <c r="M57" s="7"/>
      <c r="N57" s="7"/>
      <c r="O57" s="7"/>
      <c r="P57" s="7"/>
      <c r="Q57" s="7"/>
      <c r="R57" s="7"/>
      <c r="S57" s="7"/>
      <c r="T57" s="7"/>
    </row>
    <row r="58" spans="1:21" ht="24" customHeight="1" x14ac:dyDescent="0.25">
      <c r="A58" s="75" t="s">
        <v>451</v>
      </c>
      <c r="B58" s="4"/>
      <c r="D58" s="94">
        <f>SUM(D26:D40)</f>
        <v>12283</v>
      </c>
      <c r="E58" s="7"/>
      <c r="F58" s="95"/>
      <c r="G58" s="96"/>
      <c r="H58" s="92"/>
      <c r="I58" s="7"/>
      <c r="J58" s="94">
        <f>SUM(J26:J40)</f>
        <v>11746</v>
      </c>
      <c r="K58" s="7"/>
      <c r="L58" s="95"/>
      <c r="M58" s="96"/>
      <c r="N58" s="92"/>
      <c r="O58" s="7"/>
      <c r="P58" s="97">
        <f>D58+J58</f>
        <v>24029</v>
      </c>
      <c r="Q58" s="7"/>
      <c r="R58" s="98"/>
      <c r="S58" s="92"/>
      <c r="T58" s="92"/>
    </row>
    <row r="59" spans="1:21" ht="3" customHeight="1" x14ac:dyDescent="0.25">
      <c r="A59" s="75"/>
      <c r="B59" s="4"/>
      <c r="D59" s="89"/>
      <c r="E59" s="7"/>
      <c r="F59" s="95"/>
      <c r="G59" s="96"/>
      <c r="H59" s="92"/>
      <c r="I59" s="7"/>
      <c r="J59" s="89"/>
      <c r="K59" s="7"/>
      <c r="L59" s="95"/>
      <c r="M59" s="96"/>
      <c r="N59" s="92"/>
      <c r="O59" s="7"/>
      <c r="P59" s="99"/>
      <c r="Q59" s="7"/>
      <c r="R59" s="98"/>
      <c r="S59" s="92"/>
      <c r="T59" s="92"/>
    </row>
    <row r="60" spans="1:21" ht="24" customHeight="1" x14ac:dyDescent="0.25">
      <c r="A60" s="75" t="s">
        <v>452</v>
      </c>
      <c r="D60" s="94">
        <f>H20*0.02</f>
        <v>775.48</v>
      </c>
      <c r="E60" s="7"/>
      <c r="F60" s="7"/>
      <c r="G60" s="7"/>
      <c r="H60" s="96"/>
      <c r="I60" s="7"/>
      <c r="J60" s="94">
        <f>N20*0.02</f>
        <v>739.96</v>
      </c>
      <c r="K60" s="7"/>
      <c r="L60" s="7"/>
      <c r="M60" s="7"/>
      <c r="N60" s="96"/>
      <c r="O60" s="7"/>
      <c r="P60" s="85">
        <f>D60+J60</f>
        <v>1515.44</v>
      </c>
      <c r="Q60" s="7"/>
      <c r="R60" s="7"/>
      <c r="S60" s="7"/>
      <c r="T60" s="96"/>
    </row>
    <row r="61" spans="1:21" ht="3" customHeight="1" x14ac:dyDescent="0.25">
      <c r="D61" s="7"/>
      <c r="E61" s="7"/>
      <c r="F61" s="7"/>
      <c r="G61" s="7"/>
      <c r="H61" s="7"/>
      <c r="I61" s="7"/>
      <c r="J61" s="7"/>
      <c r="K61" s="7"/>
      <c r="L61" s="7"/>
      <c r="M61" s="7"/>
      <c r="N61" s="7"/>
      <c r="O61" s="7"/>
      <c r="P61" s="7"/>
      <c r="Q61" s="7"/>
      <c r="R61" s="7"/>
      <c r="S61" s="7"/>
      <c r="T61" s="7"/>
    </row>
    <row r="62" spans="1:21" ht="24" customHeight="1" x14ac:dyDescent="0.25">
      <c r="A62" s="75" t="s">
        <v>453</v>
      </c>
      <c r="D62" s="94">
        <f>D60</f>
        <v>775.48</v>
      </c>
      <c r="E62" s="7"/>
      <c r="F62" s="7"/>
      <c r="G62" s="7"/>
      <c r="H62" s="7"/>
      <c r="I62" s="7"/>
      <c r="J62" s="94">
        <f>J60</f>
        <v>739.96</v>
      </c>
      <c r="K62" s="7"/>
      <c r="L62" s="7"/>
      <c r="M62" s="7"/>
      <c r="N62" s="7"/>
      <c r="O62" s="7"/>
      <c r="P62" s="85">
        <f>D62+J62</f>
        <v>1515.44</v>
      </c>
      <c r="Q62" s="7"/>
      <c r="R62" s="7"/>
      <c r="S62" s="7"/>
      <c r="T62" s="7"/>
    </row>
    <row r="63" spans="1:21" ht="3" customHeight="1" x14ac:dyDescent="0.25">
      <c r="D63" s="7"/>
      <c r="E63" s="7"/>
      <c r="F63" s="7"/>
      <c r="G63" s="7"/>
      <c r="H63" s="7"/>
      <c r="I63" s="7"/>
      <c r="J63" s="7"/>
      <c r="K63" s="7"/>
      <c r="L63" s="7"/>
      <c r="M63" s="7"/>
      <c r="N63" s="7"/>
      <c r="O63" s="7"/>
      <c r="P63" s="7"/>
      <c r="Q63" s="7"/>
      <c r="R63" s="7"/>
      <c r="S63" s="7"/>
      <c r="T63" s="7"/>
    </row>
    <row r="64" spans="1:21" ht="24" customHeight="1" x14ac:dyDescent="0.25">
      <c r="A64" s="75" t="s">
        <v>454</v>
      </c>
      <c r="D64" s="94">
        <f>H64*0.51</f>
        <v>383.62995599999999</v>
      </c>
      <c r="E64" s="7"/>
      <c r="F64" s="94">
        <f>H64*0.49</f>
        <v>368.585644</v>
      </c>
      <c r="G64" s="7"/>
      <c r="H64" s="94">
        <f>D62*0.97</f>
        <v>752.21559999999999</v>
      </c>
      <c r="I64" s="7"/>
      <c r="J64" s="94">
        <f>N64*0.51</f>
        <v>366.05821200000003</v>
      </c>
      <c r="K64" s="7"/>
      <c r="L64" s="94">
        <f>N64*0.49</f>
        <v>351.702988</v>
      </c>
      <c r="M64" s="7"/>
      <c r="N64" s="94">
        <f>J62*0.97</f>
        <v>717.76120000000003</v>
      </c>
      <c r="O64" s="7"/>
      <c r="P64" s="88">
        <f>D64+J64</f>
        <v>749.68816800000002</v>
      </c>
      <c r="Q64" s="84"/>
      <c r="R64" s="88">
        <f>F64+L64</f>
        <v>720.28863200000001</v>
      </c>
      <c r="S64" s="7"/>
      <c r="T64" s="85">
        <f>P64+R64</f>
        <v>1469.9767999999999</v>
      </c>
    </row>
    <row r="65" spans="1:20" ht="3" customHeight="1" x14ac:dyDescent="0.25">
      <c r="D65" s="7"/>
      <c r="E65" s="7"/>
      <c r="F65" s="7"/>
      <c r="G65" s="7"/>
      <c r="H65" s="7"/>
      <c r="I65" s="7"/>
      <c r="J65" s="7"/>
      <c r="K65" s="7"/>
      <c r="L65" s="7"/>
      <c r="M65" s="7"/>
      <c r="N65" s="7"/>
      <c r="O65" s="7"/>
      <c r="P65" s="7"/>
      <c r="Q65" s="7"/>
      <c r="R65" s="7"/>
      <c r="S65" s="7"/>
      <c r="T65" s="7"/>
    </row>
    <row r="66" spans="1:20" ht="24" customHeight="1" x14ac:dyDescent="0.25">
      <c r="A66" s="75" t="s">
        <v>433</v>
      </c>
      <c r="D66" s="94"/>
      <c r="E66" s="7"/>
      <c r="F66" s="94"/>
      <c r="G66" s="7"/>
      <c r="H66" s="94"/>
      <c r="I66" s="7"/>
      <c r="J66" s="94"/>
      <c r="K66" s="7"/>
      <c r="L66" s="94"/>
      <c r="M66" s="7"/>
      <c r="N66" s="94"/>
      <c r="O66" s="7"/>
      <c r="P66" s="88"/>
      <c r="Q66" s="84"/>
      <c r="R66" s="88"/>
      <c r="S66" s="7"/>
      <c r="T66" s="85"/>
    </row>
  </sheetData>
  <protectedRanges>
    <protectedRange sqref="J48 L48 J50 L50 J52 L52 J54 L54 J22 L22 J24 L24 J26 L26 J28 L28 J30 L30 J32 L32 J34 L34 J36 L36 J38 L38 J40 L40 J42 L42 J44 L44 J46 L46" name="Rango3"/>
    <protectedRange sqref="D48 F48 D50 F50 D52 F52 D54 F54 D22 F22 D24 F24 D26 F26 D28 F28 D30 F30 D32 F32 D34 F34 D36 F36 D38 F38 D40 F40 D42 F42 D44 F44 D46 F46" name="Rango2"/>
    <protectedRange sqref="D16 J16" name="Rango1"/>
  </protectedRanges>
  <mergeCells count="11">
    <mergeCell ref="A1:T1"/>
    <mergeCell ref="A3:T3"/>
    <mergeCell ref="B6:T6"/>
    <mergeCell ref="B8:T8"/>
    <mergeCell ref="A12:T12"/>
    <mergeCell ref="A20:B20"/>
    <mergeCell ref="D14:H14"/>
    <mergeCell ref="J14:N14"/>
    <mergeCell ref="P14:T14"/>
    <mergeCell ref="A4:T4"/>
    <mergeCell ref="A16:B16"/>
  </mergeCells>
  <phoneticPr fontId="60" type="noConversion"/>
  <printOptions horizontalCentered="1"/>
  <pageMargins left="0.31496062992125984" right="0.31496062992125984" top="0.27559055118110237" bottom="0.19685039370078741" header="0.19685039370078741" footer="0.15748031496062992"/>
  <pageSetup scale="55"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Q26"/>
  <sheetViews>
    <sheetView view="pageBreakPreview" zoomScale="60" zoomScaleNormal="70" workbookViewId="0">
      <selection activeCell="G16" sqref="G16"/>
    </sheetView>
  </sheetViews>
  <sheetFormatPr baseColWidth="10" defaultRowHeight="15" x14ac:dyDescent="0.25"/>
  <cols>
    <col min="1" max="1" width="1.28515625" style="100" customWidth="1"/>
    <col min="2" max="2" width="16.140625" style="100" customWidth="1"/>
    <col min="3" max="3" width="40.7109375" style="100" customWidth="1"/>
    <col min="4" max="4" width="11.42578125" style="100"/>
    <col min="5" max="5" width="10.5703125" style="100" customWidth="1"/>
    <col min="6" max="6" width="9.7109375" style="100" customWidth="1"/>
    <col min="7" max="7" width="9.85546875" style="100" customWidth="1"/>
    <col min="8" max="8" width="9.140625" style="100" customWidth="1"/>
    <col min="9" max="9" width="8.7109375" style="100" customWidth="1"/>
    <col min="10" max="10" width="8.85546875" style="100" customWidth="1"/>
    <col min="11" max="11" width="11.140625" style="100" customWidth="1"/>
    <col min="12" max="13" width="11.42578125" style="100"/>
    <col min="14" max="14" width="7.7109375" style="100" customWidth="1"/>
    <col min="15" max="15" width="14.28515625" style="100" customWidth="1"/>
    <col min="16" max="16" width="8.7109375" style="100" customWidth="1"/>
    <col min="17" max="17" width="13.7109375" style="100" customWidth="1"/>
    <col min="18" max="16384" width="11.42578125" style="100"/>
  </cols>
  <sheetData>
    <row r="1" spans="2:17" ht="15.75" x14ac:dyDescent="0.25">
      <c r="B1" s="101" t="s">
        <v>646</v>
      </c>
    </row>
    <row r="2" spans="2:17" ht="15.75" thickBot="1" x14ac:dyDescent="0.3"/>
    <row r="3" spans="2:17" ht="36.75" thickBot="1" x14ac:dyDescent="0.3">
      <c r="B3" s="102" t="s">
        <v>747</v>
      </c>
      <c r="C3" s="103" t="s">
        <v>748</v>
      </c>
      <c r="D3" s="103" t="s">
        <v>749</v>
      </c>
      <c r="E3" s="104" t="s">
        <v>34</v>
      </c>
      <c r="F3" s="104" t="s">
        <v>248</v>
      </c>
      <c r="G3" s="104" t="s">
        <v>514</v>
      </c>
      <c r="H3" s="104" t="s">
        <v>741</v>
      </c>
      <c r="I3" s="105" t="s">
        <v>742</v>
      </c>
      <c r="J3" s="105" t="s">
        <v>744</v>
      </c>
      <c r="K3" s="104" t="s">
        <v>566</v>
      </c>
      <c r="L3" s="104" t="s">
        <v>35</v>
      </c>
      <c r="M3" s="104" t="s">
        <v>36</v>
      </c>
      <c r="N3" s="104" t="s">
        <v>37</v>
      </c>
      <c r="O3" s="104" t="s">
        <v>38</v>
      </c>
      <c r="P3" s="104" t="s">
        <v>39</v>
      </c>
      <c r="Q3" s="106" t="s">
        <v>40</v>
      </c>
    </row>
    <row r="4" spans="2:17" ht="25.5" x14ac:dyDescent="0.25">
      <c r="B4" s="1001" t="s">
        <v>750</v>
      </c>
      <c r="C4" s="1002" t="s">
        <v>751</v>
      </c>
      <c r="D4" s="1039">
        <v>4437</v>
      </c>
      <c r="E4" s="995">
        <f>IF(ISERROR(D4/$D$25),"",D4/$D$25)</f>
        <v>6.3862861090720674E-2</v>
      </c>
      <c r="F4" s="1042">
        <v>523</v>
      </c>
      <c r="G4" s="1042">
        <v>1754</v>
      </c>
      <c r="H4" s="998">
        <f>IF(ISERROR(G4/F4),"",ROUND(G4/F4,1))</f>
        <v>3.4</v>
      </c>
      <c r="I4" s="995">
        <f>IF(ISERROR(F4/$F$25),"",F4/$F$25)</f>
        <v>8.9893434169817807E-2</v>
      </c>
      <c r="J4" s="995">
        <f>IF(ISERROR(G4/$G$25),"",G4/$G$25)</f>
        <v>8.192050815001635E-2</v>
      </c>
      <c r="K4" s="1042">
        <v>8</v>
      </c>
      <c r="L4" s="995">
        <f>IF(ISERROR(K4/F4),"",K4/F4)</f>
        <v>1.5296367112810707E-2</v>
      </c>
      <c r="M4" s="995">
        <f>IF(ISERROR(K4/$K$25),"",K4/$K$25)</f>
        <v>0.13559322033898305</v>
      </c>
      <c r="N4" s="869"/>
      <c r="O4" s="995">
        <f>IF(ISERROR(N4/$F4),"",N4/$F4)</f>
        <v>0</v>
      </c>
      <c r="P4" s="869"/>
      <c r="Q4" s="1009">
        <f>IF(ISERROR(P4/$F4),"",P4/$F4)</f>
        <v>0</v>
      </c>
    </row>
    <row r="5" spans="2:17" ht="15.75" x14ac:dyDescent="0.25">
      <c r="B5" s="1003" t="s">
        <v>752</v>
      </c>
      <c r="C5" s="1004" t="s">
        <v>753</v>
      </c>
      <c r="D5" s="1040">
        <v>580</v>
      </c>
      <c r="E5" s="996">
        <f>IF(ISERROR(D5/$D$25),"",D5/$D$25)</f>
        <v>8.3480864170876693E-3</v>
      </c>
      <c r="F5" s="1043">
        <v>115</v>
      </c>
      <c r="G5" s="1043">
        <v>668</v>
      </c>
      <c r="H5" s="999">
        <f t="shared" ref="H5:H24" si="0">IF(ISERROR(G5/F5),"",ROUND(G5/F5,1))</f>
        <v>5.8</v>
      </c>
      <c r="I5" s="996">
        <f t="shared" ref="I5:I24" si="1">IF(ISERROR(F5/$F$25),"",F5/$F$25)</f>
        <v>1.9766242695084223E-2</v>
      </c>
      <c r="J5" s="996">
        <f t="shared" ref="J5:J24" si="2">IF(ISERROR(G5/$G$25),"",G5/$G$25)</f>
        <v>3.1198916444818085E-2</v>
      </c>
      <c r="K5" s="1043">
        <v>1</v>
      </c>
      <c r="L5" s="996">
        <f t="shared" ref="L5:L24" si="3">IF(ISERROR(K5/F5),"",K5/F5)</f>
        <v>8.6956521739130436E-3</v>
      </c>
      <c r="M5" s="996">
        <f t="shared" ref="M5:M24" si="4">IF(ISERROR(K5/$K$25),"",K5/$K$25)</f>
        <v>1.6949152542372881E-2</v>
      </c>
      <c r="N5" s="869"/>
      <c r="O5" s="1007">
        <f t="shared" ref="O5:O24" si="5">IF(ISERROR(N5/$F5),"",N5/$F5)</f>
        <v>0</v>
      </c>
      <c r="P5" s="869"/>
      <c r="Q5" s="1010">
        <f t="shared" ref="Q5:Q24" si="6">IF(ISERROR(P5/$F5),"",P5/$F5)</f>
        <v>0</v>
      </c>
    </row>
    <row r="6" spans="2:17" ht="38.25" x14ac:dyDescent="0.25">
      <c r="B6" s="1003" t="s">
        <v>754</v>
      </c>
      <c r="C6" s="1004" t="s">
        <v>755</v>
      </c>
      <c r="D6" s="1040">
        <v>279</v>
      </c>
      <c r="E6" s="996">
        <f t="shared" ref="E6:E24" si="7">IF(ISERROR(D6/$D$25),"",D6/$D$25)</f>
        <v>4.015717431668034E-3</v>
      </c>
      <c r="F6" s="1043">
        <v>26</v>
      </c>
      <c r="G6" s="1043">
        <v>122</v>
      </c>
      <c r="H6" s="999">
        <f t="shared" si="0"/>
        <v>4.7</v>
      </c>
      <c r="I6" s="996">
        <f t="shared" si="1"/>
        <v>4.4688896528016497E-3</v>
      </c>
      <c r="J6" s="996">
        <f t="shared" si="2"/>
        <v>5.6980056980056983E-3</v>
      </c>
      <c r="K6" s="1043">
        <v>2</v>
      </c>
      <c r="L6" s="996">
        <f t="shared" si="3"/>
        <v>7.6923076923076927E-2</v>
      </c>
      <c r="M6" s="996">
        <f t="shared" si="4"/>
        <v>3.3898305084745763E-2</v>
      </c>
      <c r="N6" s="870"/>
      <c r="O6" s="1007">
        <f t="shared" si="5"/>
        <v>0</v>
      </c>
      <c r="P6" s="870"/>
      <c r="Q6" s="1010">
        <f t="shared" si="6"/>
        <v>0</v>
      </c>
    </row>
    <row r="7" spans="2:17" ht="25.5" x14ac:dyDescent="0.25">
      <c r="B7" s="1003" t="s">
        <v>756</v>
      </c>
      <c r="C7" s="1004" t="s">
        <v>757</v>
      </c>
      <c r="D7" s="1040">
        <v>7201</v>
      </c>
      <c r="E7" s="996">
        <f t="shared" si="7"/>
        <v>0.10364581084387639</v>
      </c>
      <c r="F7" s="1043">
        <v>220</v>
      </c>
      <c r="G7" s="1043">
        <v>1470</v>
      </c>
      <c r="H7" s="999">
        <f t="shared" si="0"/>
        <v>6.7</v>
      </c>
      <c r="I7" s="996">
        <f t="shared" si="1"/>
        <v>3.7813681677552426E-2</v>
      </c>
      <c r="J7" s="996">
        <f t="shared" si="2"/>
        <v>6.8656298164494881E-2</v>
      </c>
      <c r="K7" s="1043">
        <v>2</v>
      </c>
      <c r="L7" s="996">
        <f t="shared" si="3"/>
        <v>9.0909090909090905E-3</v>
      </c>
      <c r="M7" s="996">
        <f t="shared" si="4"/>
        <v>3.3898305084745763E-2</v>
      </c>
      <c r="N7" s="869"/>
      <c r="O7" s="1007">
        <f t="shared" si="5"/>
        <v>0</v>
      </c>
      <c r="P7" s="869"/>
      <c r="Q7" s="1010">
        <f t="shared" si="6"/>
        <v>0</v>
      </c>
    </row>
    <row r="8" spans="2:17" ht="25.5" x14ac:dyDescent="0.25">
      <c r="B8" s="1003" t="s">
        <v>758</v>
      </c>
      <c r="C8" s="1004" t="s">
        <v>0</v>
      </c>
      <c r="D8" s="1040">
        <v>1628</v>
      </c>
      <c r="E8" s="996">
        <f t="shared" si="7"/>
        <v>2.3432214977618493E-2</v>
      </c>
      <c r="F8" s="1043">
        <v>43</v>
      </c>
      <c r="G8" s="1043">
        <v>142</v>
      </c>
      <c r="H8" s="999">
        <f t="shared" si="0"/>
        <v>3.3</v>
      </c>
      <c r="I8" s="996">
        <f t="shared" si="1"/>
        <v>7.390855964248883E-3</v>
      </c>
      <c r="J8" s="996">
        <f t="shared" si="2"/>
        <v>6.6321049927607302E-3</v>
      </c>
      <c r="K8" s="1043"/>
      <c r="L8" s="996">
        <f t="shared" si="3"/>
        <v>0</v>
      </c>
      <c r="M8" s="996">
        <f t="shared" si="4"/>
        <v>0</v>
      </c>
      <c r="N8" s="869"/>
      <c r="O8" s="1007">
        <f t="shared" si="5"/>
        <v>0</v>
      </c>
      <c r="P8" s="869"/>
      <c r="Q8" s="1010">
        <f t="shared" si="6"/>
        <v>0</v>
      </c>
    </row>
    <row r="9" spans="2:17" ht="15.75" x14ac:dyDescent="0.25">
      <c r="B9" s="1003" t="s">
        <v>1</v>
      </c>
      <c r="C9" s="1004" t="s">
        <v>2</v>
      </c>
      <c r="D9" s="1040">
        <v>1170</v>
      </c>
      <c r="E9" s="996">
        <f t="shared" si="7"/>
        <v>1.6840105358607884E-2</v>
      </c>
      <c r="F9" s="1043">
        <v>32</v>
      </c>
      <c r="G9" s="1043">
        <v>98</v>
      </c>
      <c r="H9" s="999">
        <f t="shared" si="0"/>
        <v>3.1</v>
      </c>
      <c r="I9" s="996">
        <f t="shared" si="1"/>
        <v>5.5001718803712619E-3</v>
      </c>
      <c r="J9" s="996">
        <f t="shared" si="2"/>
        <v>4.5770865442996593E-3</v>
      </c>
      <c r="K9" s="1043"/>
      <c r="L9" s="996">
        <f t="shared" si="3"/>
        <v>0</v>
      </c>
      <c r="M9" s="996">
        <f t="shared" si="4"/>
        <v>0</v>
      </c>
      <c r="N9" s="869"/>
      <c r="O9" s="1007">
        <f t="shared" si="5"/>
        <v>0</v>
      </c>
      <c r="P9" s="869"/>
      <c r="Q9" s="1010">
        <f t="shared" si="6"/>
        <v>0</v>
      </c>
    </row>
    <row r="10" spans="2:17" ht="15.75" x14ac:dyDescent="0.25">
      <c r="B10" s="1003" t="s">
        <v>3</v>
      </c>
      <c r="C10" s="1004" t="s">
        <v>4</v>
      </c>
      <c r="D10" s="1040">
        <v>638</v>
      </c>
      <c r="E10" s="996">
        <f t="shared" si="7"/>
        <v>9.1828950587964364E-3</v>
      </c>
      <c r="F10" s="1043">
        <v>2</v>
      </c>
      <c r="G10" s="1043">
        <v>3</v>
      </c>
      <c r="H10" s="999">
        <f t="shared" si="0"/>
        <v>1.5</v>
      </c>
      <c r="I10" s="996">
        <f t="shared" si="1"/>
        <v>3.4376074252320387E-4</v>
      </c>
      <c r="J10" s="996">
        <f t="shared" si="2"/>
        <v>1.4011489421325487E-4</v>
      </c>
      <c r="K10" s="1043"/>
      <c r="L10" s="996">
        <f t="shared" si="3"/>
        <v>0</v>
      </c>
      <c r="M10" s="996">
        <f t="shared" si="4"/>
        <v>0</v>
      </c>
      <c r="N10" s="869"/>
      <c r="O10" s="1007">
        <f t="shared" si="5"/>
        <v>0</v>
      </c>
      <c r="P10" s="869"/>
      <c r="Q10" s="1010">
        <f t="shared" si="6"/>
        <v>0</v>
      </c>
    </row>
    <row r="11" spans="2:17" ht="25.5" x14ac:dyDescent="0.25">
      <c r="B11" s="1003" t="s">
        <v>5</v>
      </c>
      <c r="C11" s="1004" t="s">
        <v>6</v>
      </c>
      <c r="D11" s="1040">
        <v>508</v>
      </c>
      <c r="E11" s="996">
        <f t="shared" si="7"/>
        <v>7.3117722411733376E-3</v>
      </c>
      <c r="F11" s="1043">
        <v>5</v>
      </c>
      <c r="G11" s="1043">
        <v>13</v>
      </c>
      <c r="H11" s="999">
        <f t="shared" si="0"/>
        <v>2.6</v>
      </c>
      <c r="I11" s="996">
        <f t="shared" si="1"/>
        <v>8.5940185630800961E-4</v>
      </c>
      <c r="J11" s="996">
        <f t="shared" si="2"/>
        <v>6.0716454159077113E-4</v>
      </c>
      <c r="K11" s="1043"/>
      <c r="L11" s="996">
        <f t="shared" si="3"/>
        <v>0</v>
      </c>
      <c r="M11" s="996">
        <f t="shared" si="4"/>
        <v>0</v>
      </c>
      <c r="N11" s="869"/>
      <c r="O11" s="1007">
        <f t="shared" si="5"/>
        <v>0</v>
      </c>
      <c r="P11" s="869"/>
      <c r="Q11" s="1010">
        <f t="shared" si="6"/>
        <v>0</v>
      </c>
    </row>
    <row r="12" spans="2:17" ht="15.75" x14ac:dyDescent="0.25">
      <c r="B12" s="1003" t="s">
        <v>7</v>
      </c>
      <c r="C12" s="1004" t="s">
        <v>8</v>
      </c>
      <c r="D12" s="1040">
        <v>7764</v>
      </c>
      <c r="E12" s="996">
        <f t="shared" si="7"/>
        <v>0.11174921196942873</v>
      </c>
      <c r="F12" s="1043">
        <v>277</v>
      </c>
      <c r="G12" s="1043">
        <v>1287</v>
      </c>
      <c r="H12" s="999">
        <f t="shared" si="0"/>
        <v>4.5999999999999996</v>
      </c>
      <c r="I12" s="996">
        <f t="shared" si="1"/>
        <v>4.7610862839463731E-2</v>
      </c>
      <c r="J12" s="996">
        <f t="shared" si="2"/>
        <v>6.0109289617486336E-2</v>
      </c>
      <c r="K12" s="1043">
        <v>14</v>
      </c>
      <c r="L12" s="996">
        <f t="shared" si="3"/>
        <v>5.0541516245487361E-2</v>
      </c>
      <c r="M12" s="996">
        <f t="shared" si="4"/>
        <v>0.23728813559322035</v>
      </c>
      <c r="N12" s="869"/>
      <c r="O12" s="1007">
        <f t="shared" si="5"/>
        <v>0</v>
      </c>
      <c r="P12" s="869"/>
      <c r="Q12" s="1010">
        <f t="shared" si="6"/>
        <v>0</v>
      </c>
    </row>
    <row r="13" spans="2:17" ht="15.75" x14ac:dyDescent="0.25">
      <c r="B13" s="1003" t="s">
        <v>9</v>
      </c>
      <c r="C13" s="1004" t="s">
        <v>10</v>
      </c>
      <c r="D13" s="1040">
        <v>9874</v>
      </c>
      <c r="E13" s="996">
        <f t="shared" si="7"/>
        <v>0.14211897462469594</v>
      </c>
      <c r="F13" s="1043">
        <v>499</v>
      </c>
      <c r="G13" s="1043">
        <v>1977</v>
      </c>
      <c r="H13" s="999">
        <f t="shared" si="0"/>
        <v>4</v>
      </c>
      <c r="I13" s="996">
        <f t="shared" si="1"/>
        <v>8.5768305259539365E-2</v>
      </c>
      <c r="J13" s="996">
        <f t="shared" si="2"/>
        <v>9.2335715286534961E-2</v>
      </c>
      <c r="K13" s="1043">
        <v>9</v>
      </c>
      <c r="L13" s="996">
        <f t="shared" si="3"/>
        <v>1.8036072144288578E-2</v>
      </c>
      <c r="M13" s="996">
        <f t="shared" si="4"/>
        <v>0.15254237288135594</v>
      </c>
      <c r="N13" s="869"/>
      <c r="O13" s="1007">
        <f t="shared" si="5"/>
        <v>0</v>
      </c>
      <c r="P13" s="869"/>
      <c r="Q13" s="1010">
        <f t="shared" si="6"/>
        <v>0</v>
      </c>
    </row>
    <row r="14" spans="2:17" ht="15.75" x14ac:dyDescent="0.25">
      <c r="B14" s="1003" t="s">
        <v>11</v>
      </c>
      <c r="C14" s="1004" t="s">
        <v>12</v>
      </c>
      <c r="D14" s="1040">
        <v>5078</v>
      </c>
      <c r="E14" s="996">
        <f t="shared" si="7"/>
        <v>7.3088935906846869E-2</v>
      </c>
      <c r="F14" s="1043">
        <v>548</v>
      </c>
      <c r="G14" s="1043">
        <v>2097</v>
      </c>
      <c r="H14" s="999">
        <f t="shared" si="0"/>
        <v>3.8</v>
      </c>
      <c r="I14" s="996">
        <f t="shared" si="1"/>
        <v>9.4190443451357853E-2</v>
      </c>
      <c r="J14" s="996">
        <f t="shared" si="2"/>
        <v>9.7940311055065149E-2</v>
      </c>
      <c r="K14" s="1043">
        <v>8</v>
      </c>
      <c r="L14" s="996">
        <f t="shared" si="3"/>
        <v>1.4598540145985401E-2</v>
      </c>
      <c r="M14" s="996">
        <f t="shared" si="4"/>
        <v>0.13559322033898305</v>
      </c>
      <c r="N14" s="869"/>
      <c r="O14" s="1007">
        <f t="shared" si="5"/>
        <v>0</v>
      </c>
      <c r="P14" s="869"/>
      <c r="Q14" s="1010">
        <f t="shared" si="6"/>
        <v>0</v>
      </c>
    </row>
    <row r="15" spans="2:17" ht="25.5" x14ac:dyDescent="0.25">
      <c r="B15" s="1003" t="s">
        <v>13</v>
      </c>
      <c r="C15" s="1004" t="s">
        <v>14</v>
      </c>
      <c r="D15" s="1040">
        <v>1696</v>
      </c>
      <c r="E15" s="996">
        <f t="shared" si="7"/>
        <v>2.4410956143759804E-2</v>
      </c>
      <c r="F15" s="1043">
        <v>104</v>
      </c>
      <c r="G15" s="1043">
        <v>609</v>
      </c>
      <c r="H15" s="999">
        <f t="shared" si="0"/>
        <v>5.9</v>
      </c>
      <c r="I15" s="996">
        <f t="shared" si="1"/>
        <v>1.7875558611206599E-2</v>
      </c>
      <c r="J15" s="996">
        <f t="shared" si="2"/>
        <v>2.8443323525290738E-2</v>
      </c>
      <c r="K15" s="1043">
        <v>1</v>
      </c>
      <c r="L15" s="996">
        <f t="shared" si="3"/>
        <v>9.6153846153846159E-3</v>
      </c>
      <c r="M15" s="996">
        <f t="shared" si="4"/>
        <v>1.6949152542372881E-2</v>
      </c>
      <c r="N15" s="869"/>
      <c r="O15" s="1007">
        <f t="shared" si="5"/>
        <v>0</v>
      </c>
      <c r="P15" s="869"/>
      <c r="Q15" s="1010">
        <f t="shared" si="6"/>
        <v>0</v>
      </c>
    </row>
    <row r="16" spans="2:17" ht="25.5" x14ac:dyDescent="0.25">
      <c r="B16" s="1003" t="s">
        <v>15</v>
      </c>
      <c r="C16" s="1004" t="s">
        <v>16</v>
      </c>
      <c r="D16" s="1040">
        <v>3542</v>
      </c>
      <c r="E16" s="996">
        <f t="shared" si="7"/>
        <v>5.0980900154007802E-2</v>
      </c>
      <c r="F16" s="1043">
        <v>48</v>
      </c>
      <c r="G16" s="1043">
        <v>190</v>
      </c>
      <c r="H16" s="999">
        <f t="shared" si="0"/>
        <v>4</v>
      </c>
      <c r="I16" s="996">
        <f t="shared" si="1"/>
        <v>8.250257820556892E-3</v>
      </c>
      <c r="J16" s="996">
        <f t="shared" si="2"/>
        <v>8.8739433001728089E-3</v>
      </c>
      <c r="K16" s="1043"/>
      <c r="L16" s="996">
        <f t="shared" si="3"/>
        <v>0</v>
      </c>
      <c r="M16" s="996">
        <f t="shared" si="4"/>
        <v>0</v>
      </c>
      <c r="N16" s="869"/>
      <c r="O16" s="1007">
        <f t="shared" si="5"/>
        <v>0</v>
      </c>
      <c r="P16" s="869"/>
      <c r="Q16" s="1010">
        <f t="shared" si="6"/>
        <v>0</v>
      </c>
    </row>
    <row r="17" spans="2:17" ht="25.5" x14ac:dyDescent="0.25">
      <c r="B17" s="1003" t="s">
        <v>17</v>
      </c>
      <c r="C17" s="1004" t="s">
        <v>18</v>
      </c>
      <c r="D17" s="1040">
        <v>5829</v>
      </c>
      <c r="E17" s="996">
        <f t="shared" si="7"/>
        <v>8.3898268491731071E-2</v>
      </c>
      <c r="F17" s="1043">
        <v>318</v>
      </c>
      <c r="G17" s="1043">
        <v>1199</v>
      </c>
      <c r="H17" s="999">
        <f t="shared" si="0"/>
        <v>3.8</v>
      </c>
      <c r="I17" s="996">
        <f t="shared" si="1"/>
        <v>5.4657958061189414E-2</v>
      </c>
      <c r="J17" s="996">
        <f t="shared" si="2"/>
        <v>5.5999252720564198E-2</v>
      </c>
      <c r="K17" s="1043">
        <v>1</v>
      </c>
      <c r="L17" s="996">
        <f t="shared" si="3"/>
        <v>3.1446540880503146E-3</v>
      </c>
      <c r="M17" s="996">
        <f t="shared" si="4"/>
        <v>1.6949152542372881E-2</v>
      </c>
      <c r="N17" s="869"/>
      <c r="O17" s="1007">
        <f t="shared" si="5"/>
        <v>0</v>
      </c>
      <c r="P17" s="869"/>
      <c r="Q17" s="1010">
        <f t="shared" si="6"/>
        <v>0</v>
      </c>
    </row>
    <row r="18" spans="2:17" ht="15.75" x14ac:dyDescent="0.25">
      <c r="B18" s="1003" t="s">
        <v>19</v>
      </c>
      <c r="C18" s="1004" t="s">
        <v>20</v>
      </c>
      <c r="D18" s="1040">
        <v>1881</v>
      </c>
      <c r="E18" s="996">
        <f t="shared" si="7"/>
        <v>2.7073707845761907E-2</v>
      </c>
      <c r="F18" s="1043">
        <v>1550</v>
      </c>
      <c r="G18" s="1043">
        <v>4667</v>
      </c>
      <c r="H18" s="999">
        <f t="shared" si="0"/>
        <v>3</v>
      </c>
      <c r="I18" s="996">
        <f t="shared" si="1"/>
        <v>0.26641457545548297</v>
      </c>
      <c r="J18" s="996">
        <f t="shared" si="2"/>
        <v>0.21797207043108682</v>
      </c>
      <c r="K18" s="1043"/>
      <c r="L18" s="996">
        <f t="shared" si="3"/>
        <v>0</v>
      </c>
      <c r="M18" s="996">
        <f t="shared" si="4"/>
        <v>0</v>
      </c>
      <c r="N18" s="869"/>
      <c r="O18" s="1007">
        <f t="shared" si="5"/>
        <v>0</v>
      </c>
      <c r="P18" s="869"/>
      <c r="Q18" s="1010">
        <f t="shared" si="6"/>
        <v>0</v>
      </c>
    </row>
    <row r="19" spans="2:17" ht="25.5" x14ac:dyDescent="0.25">
      <c r="B19" s="1003" t="s">
        <v>21</v>
      </c>
      <c r="C19" s="1004" t="s">
        <v>22</v>
      </c>
      <c r="D19" s="1040">
        <v>51</v>
      </c>
      <c r="E19" s="996">
        <f t="shared" si="7"/>
        <v>7.340558746059847E-4</v>
      </c>
      <c r="F19" s="1043">
        <v>291</v>
      </c>
      <c r="G19" s="1043">
        <v>1142</v>
      </c>
      <c r="H19" s="999">
        <f t="shared" si="0"/>
        <v>3.9</v>
      </c>
      <c r="I19" s="996">
        <f t="shared" si="1"/>
        <v>5.001718803712616E-2</v>
      </c>
      <c r="J19" s="996">
        <f t="shared" si="2"/>
        <v>5.3337069730512353E-2</v>
      </c>
      <c r="K19" s="1043">
        <v>2</v>
      </c>
      <c r="L19" s="996">
        <f t="shared" si="3"/>
        <v>6.8728522336769758E-3</v>
      </c>
      <c r="M19" s="996">
        <f t="shared" si="4"/>
        <v>3.3898305084745763E-2</v>
      </c>
      <c r="N19" s="870"/>
      <c r="O19" s="1007">
        <f t="shared" si="5"/>
        <v>0</v>
      </c>
      <c r="P19" s="870"/>
      <c r="Q19" s="1010">
        <f t="shared" si="6"/>
        <v>0</v>
      </c>
    </row>
    <row r="20" spans="2:17" ht="25.5" x14ac:dyDescent="0.25">
      <c r="B20" s="1003" t="s">
        <v>23</v>
      </c>
      <c r="C20" s="1004" t="s">
        <v>24</v>
      </c>
      <c r="D20" s="1040">
        <v>224</v>
      </c>
      <c r="E20" s="996">
        <f t="shared" si="7"/>
        <v>3.2240885472890309E-3</v>
      </c>
      <c r="F20" s="1043">
        <v>31</v>
      </c>
      <c r="G20" s="1043">
        <v>107</v>
      </c>
      <c r="H20" s="999">
        <f t="shared" si="0"/>
        <v>3.5</v>
      </c>
      <c r="I20" s="996">
        <f t="shared" si="1"/>
        <v>5.3282915091096596E-3</v>
      </c>
      <c r="J20" s="996">
        <f t="shared" si="2"/>
        <v>4.9974312269394239E-3</v>
      </c>
      <c r="K20" s="1043"/>
      <c r="L20" s="996">
        <f t="shared" si="3"/>
        <v>0</v>
      </c>
      <c r="M20" s="996">
        <f t="shared" si="4"/>
        <v>0</v>
      </c>
      <c r="N20" s="869"/>
      <c r="O20" s="1007">
        <f t="shared" si="5"/>
        <v>0</v>
      </c>
      <c r="P20" s="869"/>
      <c r="Q20" s="1010">
        <f t="shared" si="6"/>
        <v>0</v>
      </c>
    </row>
    <row r="21" spans="2:17" ht="38.25" x14ac:dyDescent="0.25">
      <c r="B21" s="1003" t="s">
        <v>25</v>
      </c>
      <c r="C21" s="1004" t="s">
        <v>26</v>
      </c>
      <c r="D21" s="1040">
        <v>6812</v>
      </c>
      <c r="E21" s="996">
        <f t="shared" si="7"/>
        <v>9.8046835643450347E-2</v>
      </c>
      <c r="F21" s="1043">
        <v>269</v>
      </c>
      <c r="G21" s="1043">
        <v>789</v>
      </c>
      <c r="H21" s="999">
        <f t="shared" si="0"/>
        <v>2.9</v>
      </c>
      <c r="I21" s="996">
        <f t="shared" si="1"/>
        <v>4.623581986937092E-2</v>
      </c>
      <c r="J21" s="996">
        <f t="shared" si="2"/>
        <v>3.685021717808603E-2</v>
      </c>
      <c r="K21" s="1043">
        <v>6</v>
      </c>
      <c r="L21" s="996">
        <f t="shared" si="3"/>
        <v>2.2304832713754646E-2</v>
      </c>
      <c r="M21" s="996">
        <f t="shared" si="4"/>
        <v>0.10169491525423729</v>
      </c>
      <c r="N21" s="869"/>
      <c r="O21" s="1007">
        <f t="shared" si="5"/>
        <v>0</v>
      </c>
      <c r="P21" s="869"/>
      <c r="Q21" s="1010">
        <f t="shared" si="6"/>
        <v>0</v>
      </c>
    </row>
    <row r="22" spans="2:17" ht="25.5" x14ac:dyDescent="0.25">
      <c r="B22" s="1003" t="s">
        <v>27</v>
      </c>
      <c r="C22" s="1004" t="s">
        <v>28</v>
      </c>
      <c r="D22" s="1040">
        <v>4644</v>
      </c>
      <c r="E22" s="996">
        <f t="shared" si="7"/>
        <v>6.6842264346474375E-2</v>
      </c>
      <c r="F22" s="1043">
        <v>494</v>
      </c>
      <c r="G22" s="1043">
        <v>1720</v>
      </c>
      <c r="H22" s="999">
        <f t="shared" si="0"/>
        <v>3.5</v>
      </c>
      <c r="I22" s="996">
        <f t="shared" si="1"/>
        <v>8.4908903403231345E-2</v>
      </c>
      <c r="J22" s="996">
        <f t="shared" si="2"/>
        <v>8.0332539348932794E-2</v>
      </c>
      <c r="K22" s="1043">
        <v>5</v>
      </c>
      <c r="L22" s="996">
        <f t="shared" si="3"/>
        <v>1.0121457489878543E-2</v>
      </c>
      <c r="M22" s="996">
        <f t="shared" si="4"/>
        <v>8.4745762711864403E-2</v>
      </c>
      <c r="N22" s="869"/>
      <c r="O22" s="1007">
        <f t="shared" si="5"/>
        <v>0</v>
      </c>
      <c r="P22" s="869"/>
      <c r="Q22" s="1010">
        <f t="shared" si="6"/>
        <v>0</v>
      </c>
    </row>
    <row r="23" spans="2:17" ht="25.5" x14ac:dyDescent="0.25">
      <c r="B23" s="1003" t="s">
        <v>29</v>
      </c>
      <c r="C23" s="1004" t="s">
        <v>30</v>
      </c>
      <c r="D23" s="1040">
        <v>0</v>
      </c>
      <c r="E23" s="996">
        <f t="shared" si="7"/>
        <v>0</v>
      </c>
      <c r="F23" s="1043">
        <v>0</v>
      </c>
      <c r="G23" s="1043">
        <v>0</v>
      </c>
      <c r="H23" s="999" t="str">
        <f t="shared" si="0"/>
        <v/>
      </c>
      <c r="I23" s="996">
        <f t="shared" si="1"/>
        <v>0</v>
      </c>
      <c r="J23" s="996">
        <f t="shared" si="2"/>
        <v>0</v>
      </c>
      <c r="K23" s="1043"/>
      <c r="L23" s="996" t="str">
        <f t="shared" si="3"/>
        <v/>
      </c>
      <c r="M23" s="996">
        <f t="shared" si="4"/>
        <v>0</v>
      </c>
      <c r="N23" s="870"/>
      <c r="O23" s="1007" t="str">
        <f t="shared" si="5"/>
        <v/>
      </c>
      <c r="P23" s="870"/>
      <c r="Q23" s="1010" t="str">
        <f t="shared" si="6"/>
        <v/>
      </c>
    </row>
    <row r="24" spans="2:17" ht="26.25" thickBot="1" x14ac:dyDescent="0.3">
      <c r="B24" s="1005" t="s">
        <v>31</v>
      </c>
      <c r="C24" s="1006" t="s">
        <v>32</v>
      </c>
      <c r="D24" s="1041">
        <v>5641</v>
      </c>
      <c r="E24" s="997">
        <f t="shared" si="7"/>
        <v>8.1192337032399212E-2</v>
      </c>
      <c r="F24" s="1044">
        <v>423</v>
      </c>
      <c r="G24" s="1044">
        <v>1357</v>
      </c>
      <c r="H24" s="1000">
        <f t="shared" si="0"/>
        <v>3.2</v>
      </c>
      <c r="I24" s="997">
        <f t="shared" si="1"/>
        <v>7.270539704365761E-2</v>
      </c>
      <c r="J24" s="997">
        <f t="shared" si="2"/>
        <v>6.3378637149128947E-2</v>
      </c>
      <c r="K24" s="1044"/>
      <c r="L24" s="997">
        <f t="shared" si="3"/>
        <v>0</v>
      </c>
      <c r="M24" s="997">
        <f t="shared" si="4"/>
        <v>0</v>
      </c>
      <c r="N24" s="871"/>
      <c r="O24" s="1008">
        <f t="shared" si="5"/>
        <v>0</v>
      </c>
      <c r="P24" s="871"/>
      <c r="Q24" s="1011">
        <f t="shared" si="6"/>
        <v>0</v>
      </c>
    </row>
    <row r="25" spans="2:17" ht="16.5" thickTop="1" thickBot="1" x14ac:dyDescent="0.3">
      <c r="B25" s="813"/>
      <c r="C25" s="814" t="s">
        <v>33</v>
      </c>
      <c r="D25" s="650">
        <f>SUM(D4:D24)</f>
        <v>69477</v>
      </c>
      <c r="E25" s="815"/>
      <c r="F25" s="650">
        <f>SUM(F4:F24)</f>
        <v>5818</v>
      </c>
      <c r="G25" s="650">
        <f>SUM(G4:G24)</f>
        <v>21411</v>
      </c>
      <c r="H25" s="815"/>
      <c r="I25" s="815"/>
      <c r="J25" s="815"/>
      <c r="K25" s="650">
        <f>SUM(K4:K24)</f>
        <v>59</v>
      </c>
      <c r="L25" s="815"/>
      <c r="M25" s="815"/>
      <c r="N25" s="815">
        <f>SUM(N4:N24)</f>
        <v>0</v>
      </c>
      <c r="O25" s="815"/>
      <c r="P25" s="815">
        <f>SUM(P4:P24)</f>
        <v>0</v>
      </c>
      <c r="Q25" s="816"/>
    </row>
    <row r="26" spans="2:17" x14ac:dyDescent="0.25">
      <c r="B26" s="107" t="s">
        <v>677</v>
      </c>
    </row>
  </sheetData>
  <sheetProtection password="EADF" sheet="1" objects="1" scenarios="1"/>
  <protectedRanges>
    <protectedRange sqref="F4:G24" name="Rango4"/>
    <protectedRange sqref="K4:K24" name="Rango1"/>
    <protectedRange sqref="N4:N24" name="Rango2"/>
  </protectedRanges>
  <phoneticPr fontId="60" type="noConversion"/>
  <pageMargins left="0.70866141732283472" right="0.70866141732283472" top="0.74803149606299213" bottom="0.74803149606299213" header="0.31496062992125984" footer="0.31496062992125984"/>
  <pageSetup scale="59"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67"/>
  <sheetViews>
    <sheetView view="pageBreakPreview" topLeftCell="A43" zoomScale="86" zoomScaleNormal="100" zoomScaleSheetLayoutView="86" workbookViewId="0">
      <selection activeCell="E52" sqref="E52"/>
    </sheetView>
  </sheetViews>
  <sheetFormatPr baseColWidth="10" defaultRowHeight="15" x14ac:dyDescent="0.25"/>
  <cols>
    <col min="1" max="1" width="1.28515625" style="553" customWidth="1"/>
    <col min="2" max="2" width="11.42578125" style="553"/>
    <col min="3" max="3" width="12.42578125" style="553" customWidth="1"/>
    <col min="4" max="4" width="55" style="553" customWidth="1"/>
    <col min="5" max="5" width="13.42578125" style="553" customWidth="1"/>
    <col min="6" max="6" width="12.7109375" style="553" customWidth="1"/>
    <col min="7" max="7" width="13.5703125" style="553" customWidth="1"/>
    <col min="8" max="16384" width="11.42578125" style="553"/>
  </cols>
  <sheetData>
    <row r="3" spans="2:7" s="534" customFormat="1" ht="15.75" thickBot="1" x14ac:dyDescent="0.3">
      <c r="B3" s="532" t="s">
        <v>567</v>
      </c>
      <c r="C3" s="533"/>
      <c r="D3" s="533"/>
      <c r="E3" s="533"/>
      <c r="F3" s="533"/>
      <c r="G3" s="533"/>
    </row>
    <row r="4" spans="2:7" s="534" customFormat="1" ht="24.75" thickBot="1" x14ac:dyDescent="0.3">
      <c r="B4" s="535" t="s">
        <v>720</v>
      </c>
      <c r="C4" s="103" t="s">
        <v>639</v>
      </c>
      <c r="D4" s="103" t="s">
        <v>721</v>
      </c>
      <c r="E4" s="104" t="s">
        <v>722</v>
      </c>
      <c r="F4" s="104" t="s">
        <v>735</v>
      </c>
      <c r="G4" s="843" t="s">
        <v>736</v>
      </c>
    </row>
    <row r="5" spans="2:7" s="534" customFormat="1" x14ac:dyDescent="0.2">
      <c r="B5" s="590" t="s">
        <v>723</v>
      </c>
      <c r="C5" s="591"/>
      <c r="D5" s="1045" t="s">
        <v>759</v>
      </c>
      <c r="E5" s="1046">
        <v>5644</v>
      </c>
      <c r="F5" s="592">
        <f>IF(ISERROR(E5/$E$16),"",E5/$E$16)</f>
        <v>8.1144418086406447E-2</v>
      </c>
      <c r="G5" s="593">
        <f>F5</f>
        <v>8.1144418086406447E-2</v>
      </c>
    </row>
    <row r="6" spans="2:7" s="534" customFormat="1" x14ac:dyDescent="0.2">
      <c r="B6" s="538" t="s">
        <v>724</v>
      </c>
      <c r="C6" s="539"/>
      <c r="D6" s="1047" t="s">
        <v>760</v>
      </c>
      <c r="E6" s="1048">
        <v>5533</v>
      </c>
      <c r="F6" s="540">
        <f t="shared" ref="F6:F15" si="0">IF(ISERROR(E6/$E$16),"",E6/$E$16)</f>
        <v>7.9548558694558263E-2</v>
      </c>
      <c r="G6" s="541">
        <f>SUM(G5,F6)</f>
        <v>0.16069297678096472</v>
      </c>
    </row>
    <row r="7" spans="2:7" s="534" customFormat="1" x14ac:dyDescent="0.2">
      <c r="B7" s="538" t="s">
        <v>725</v>
      </c>
      <c r="C7" s="539"/>
      <c r="D7" s="1047" t="s">
        <v>761</v>
      </c>
      <c r="E7" s="1048">
        <v>4695</v>
      </c>
      <c r="F7" s="540">
        <f t="shared" si="0"/>
        <v>6.7500539141686439E-2</v>
      </c>
      <c r="G7" s="541">
        <f t="shared" ref="G7:G15" si="1">SUM(G6,F7)</f>
        <v>0.22819351592265116</v>
      </c>
    </row>
    <row r="8" spans="2:7" s="534" customFormat="1" x14ac:dyDescent="0.2">
      <c r="B8" s="538" t="s">
        <v>726</v>
      </c>
      <c r="C8" s="539"/>
      <c r="D8" s="1047" t="s">
        <v>762</v>
      </c>
      <c r="E8" s="1048">
        <v>4447</v>
      </c>
      <c r="F8" s="540">
        <f t="shared" si="0"/>
        <v>6.3935015455395011E-2</v>
      </c>
      <c r="G8" s="541">
        <f t="shared" si="1"/>
        <v>0.29212853137804617</v>
      </c>
    </row>
    <row r="9" spans="2:7" s="534" customFormat="1" x14ac:dyDescent="0.2">
      <c r="B9" s="538" t="s">
        <v>727</v>
      </c>
      <c r="C9" s="539"/>
      <c r="D9" s="1047" t="s">
        <v>763</v>
      </c>
      <c r="E9" s="1048">
        <v>2957</v>
      </c>
      <c r="F9" s="540">
        <f t="shared" si="0"/>
        <v>4.2513119114369925E-2</v>
      </c>
      <c r="G9" s="541">
        <f t="shared" si="1"/>
        <v>0.33464165049241612</v>
      </c>
    </row>
    <row r="10" spans="2:7" s="534" customFormat="1" x14ac:dyDescent="0.2">
      <c r="B10" s="538" t="s">
        <v>728</v>
      </c>
      <c r="C10" s="539"/>
      <c r="D10" s="1047" t="s">
        <v>764</v>
      </c>
      <c r="E10" s="1048">
        <v>2659</v>
      </c>
      <c r="F10" s="540">
        <f t="shared" si="0"/>
        <v>3.8228739846164907E-2</v>
      </c>
      <c r="G10" s="541">
        <f t="shared" si="1"/>
        <v>0.37287039033858105</v>
      </c>
    </row>
    <row r="11" spans="2:7" s="534" customFormat="1" x14ac:dyDescent="0.2">
      <c r="B11" s="538" t="s">
        <v>729</v>
      </c>
      <c r="C11" s="539"/>
      <c r="D11" s="1047" t="s">
        <v>765</v>
      </c>
      <c r="E11" s="1048">
        <v>2500</v>
      </c>
      <c r="F11" s="540">
        <f t="shared" si="0"/>
        <v>3.5942779095679681E-2</v>
      </c>
      <c r="G11" s="541">
        <f t="shared" si="1"/>
        <v>0.40881316943426071</v>
      </c>
    </row>
    <row r="12" spans="2:7" s="534" customFormat="1" x14ac:dyDescent="0.2">
      <c r="B12" s="538" t="s">
        <v>730</v>
      </c>
      <c r="C12" s="539"/>
      <c r="D12" s="1047" t="s">
        <v>766</v>
      </c>
      <c r="E12" s="1048">
        <v>2328</v>
      </c>
      <c r="F12" s="540">
        <f t="shared" si="0"/>
        <v>3.3469915893896918E-2</v>
      </c>
      <c r="G12" s="541">
        <f t="shared" si="1"/>
        <v>0.44228308532815763</v>
      </c>
    </row>
    <row r="13" spans="2:7" s="534" customFormat="1" x14ac:dyDescent="0.2">
      <c r="B13" s="538" t="s">
        <v>731</v>
      </c>
      <c r="C13" s="539"/>
      <c r="D13" s="1047" t="s">
        <v>767</v>
      </c>
      <c r="E13" s="1048">
        <v>2081</v>
      </c>
      <c r="F13" s="540">
        <f t="shared" si="0"/>
        <v>2.9918769319243765E-2</v>
      </c>
      <c r="G13" s="541">
        <f t="shared" si="1"/>
        <v>0.47220185464740139</v>
      </c>
    </row>
    <row r="14" spans="2:7" s="534" customFormat="1" x14ac:dyDescent="0.2">
      <c r="B14" s="538" t="s">
        <v>732</v>
      </c>
      <c r="C14" s="539"/>
      <c r="D14" s="1047" t="s">
        <v>768</v>
      </c>
      <c r="E14" s="1048">
        <v>1623</v>
      </c>
      <c r="F14" s="540">
        <f t="shared" si="0"/>
        <v>2.3334052188915246E-2</v>
      </c>
      <c r="G14" s="541">
        <f t="shared" si="1"/>
        <v>0.49553590683631665</v>
      </c>
    </row>
    <row r="15" spans="2:7" s="534" customFormat="1" ht="15.75" thickBot="1" x14ac:dyDescent="0.25">
      <c r="B15" s="578"/>
      <c r="C15" s="579"/>
      <c r="D15" s="1049" t="s">
        <v>733</v>
      </c>
      <c r="E15" s="1050">
        <v>35088</v>
      </c>
      <c r="F15" s="594">
        <f t="shared" si="0"/>
        <v>0.50446409316368346</v>
      </c>
      <c r="G15" s="595">
        <f t="shared" si="1"/>
        <v>1</v>
      </c>
    </row>
    <row r="16" spans="2:7" s="534" customFormat="1" ht="15.75" thickBot="1" x14ac:dyDescent="0.3">
      <c r="B16" s="573"/>
      <c r="C16" s="574"/>
      <c r="D16" s="586" t="s">
        <v>517</v>
      </c>
      <c r="E16" s="587">
        <f>SUM(E5:E15)</f>
        <v>69555</v>
      </c>
      <c r="F16" s="588">
        <f>SUM(F5:F15)</f>
        <v>1</v>
      </c>
      <c r="G16" s="589"/>
    </row>
    <row r="19" spans="2:10" s="534" customFormat="1" ht="15.75" thickBot="1" x14ac:dyDescent="0.3">
      <c r="B19" s="532" t="s">
        <v>568</v>
      </c>
      <c r="C19" s="533"/>
      <c r="D19" s="533"/>
      <c r="E19" s="533"/>
      <c r="F19" s="533"/>
      <c r="G19" s="533"/>
      <c r="H19" s="533"/>
      <c r="I19" s="533"/>
      <c r="J19" s="533"/>
    </row>
    <row r="20" spans="2:10" s="534" customFormat="1" ht="26.25" thickBot="1" x14ac:dyDescent="0.3">
      <c r="B20" s="535" t="s">
        <v>720</v>
      </c>
      <c r="C20" s="103" t="s">
        <v>639</v>
      </c>
      <c r="D20" s="103" t="s">
        <v>721</v>
      </c>
      <c r="E20" s="103" t="s">
        <v>248</v>
      </c>
      <c r="F20" s="103" t="s">
        <v>638</v>
      </c>
      <c r="G20" s="103" t="s">
        <v>741</v>
      </c>
      <c r="H20" s="103" t="s">
        <v>742</v>
      </c>
      <c r="I20" s="112" t="s">
        <v>743</v>
      </c>
      <c r="J20" s="113" t="s">
        <v>744</v>
      </c>
    </row>
    <row r="21" spans="2:10" s="534" customFormat="1" x14ac:dyDescent="0.25">
      <c r="B21" s="536" t="s">
        <v>723</v>
      </c>
      <c r="C21" s="537"/>
      <c r="D21" s="1051" t="s">
        <v>769</v>
      </c>
      <c r="E21" s="1052">
        <v>866</v>
      </c>
      <c r="F21" s="1052">
        <v>2200</v>
      </c>
      <c r="G21" s="542">
        <f>IF(ISERROR(F21/E21),"",F21/E21)</f>
        <v>2.5404157043879909</v>
      </c>
      <c r="H21" s="543">
        <f>IF(ISERROR(E21/$E$32),"",E21/$E$32)</f>
        <v>0.1461603375527426</v>
      </c>
      <c r="I21" s="543">
        <f>H21</f>
        <v>0.1461603375527426</v>
      </c>
      <c r="J21" s="544">
        <f>IF(ISERROR(F21/$F$32),"",F21/$F$32)</f>
        <v>0.10174351385099199</v>
      </c>
    </row>
    <row r="22" spans="2:10" s="534" customFormat="1" ht="25.5" x14ac:dyDescent="0.25">
      <c r="B22" s="538" t="s">
        <v>724</v>
      </c>
      <c r="C22" s="539"/>
      <c r="D22" s="1053" t="s">
        <v>760</v>
      </c>
      <c r="E22" s="1054">
        <v>386</v>
      </c>
      <c r="F22" s="1054">
        <v>1250</v>
      </c>
      <c r="G22" s="545">
        <f t="shared" ref="G22:G32" si="2">IF(ISERROR(F22/E22),"",F22/E22)</f>
        <v>3.2383419689119171</v>
      </c>
      <c r="H22" s="546">
        <f t="shared" ref="H22:H31" si="3">IF(ISERROR(E22/$E$32),"",E22/$E$32)</f>
        <v>6.5147679324894514E-2</v>
      </c>
      <c r="I22" s="546">
        <f>SUM(I21,H22)</f>
        <v>0.21130801687763712</v>
      </c>
      <c r="J22" s="547">
        <f t="shared" ref="J22:J31" si="4">IF(ISERROR(F22/$F$32),"",F22/$F$32)</f>
        <v>5.7808814688063634E-2</v>
      </c>
    </row>
    <row r="23" spans="2:10" s="534" customFormat="1" x14ac:dyDescent="0.25">
      <c r="B23" s="538" t="s">
        <v>725</v>
      </c>
      <c r="C23" s="539"/>
      <c r="D23" s="1053" t="s">
        <v>767</v>
      </c>
      <c r="E23" s="1054">
        <v>354</v>
      </c>
      <c r="F23" s="1054">
        <v>946</v>
      </c>
      <c r="G23" s="545">
        <f t="shared" si="2"/>
        <v>2.6723163841807911</v>
      </c>
      <c r="H23" s="546">
        <f t="shared" si="3"/>
        <v>5.9746835443037973E-2</v>
      </c>
      <c r="I23" s="546">
        <f t="shared" ref="I23:I31" si="5">SUM(I22,H23)</f>
        <v>0.27105485232067511</v>
      </c>
      <c r="J23" s="547">
        <f t="shared" si="4"/>
        <v>4.3749710955926557E-2</v>
      </c>
    </row>
    <row r="24" spans="2:10" s="534" customFormat="1" x14ac:dyDescent="0.25">
      <c r="B24" s="538" t="s">
        <v>726</v>
      </c>
      <c r="C24" s="539"/>
      <c r="D24" s="1053" t="s">
        <v>770</v>
      </c>
      <c r="E24" s="1054">
        <v>350</v>
      </c>
      <c r="F24" s="1054">
        <v>1469</v>
      </c>
      <c r="G24" s="545">
        <f t="shared" si="2"/>
        <v>4.1971428571428575</v>
      </c>
      <c r="H24" s="546">
        <f t="shared" si="3"/>
        <v>5.9071729957805907E-2</v>
      </c>
      <c r="I24" s="546">
        <f t="shared" si="5"/>
        <v>0.33012658227848102</v>
      </c>
      <c r="J24" s="547">
        <f t="shared" si="4"/>
        <v>6.7936919021412384E-2</v>
      </c>
    </row>
    <row r="25" spans="2:10" s="534" customFormat="1" x14ac:dyDescent="0.25">
      <c r="B25" s="538" t="s">
        <v>727</v>
      </c>
      <c r="C25" s="539"/>
      <c r="D25" s="1053" t="s">
        <v>771</v>
      </c>
      <c r="E25" s="1054">
        <v>225</v>
      </c>
      <c r="F25" s="1054">
        <v>1149</v>
      </c>
      <c r="G25" s="545">
        <f t="shared" si="2"/>
        <v>5.1066666666666665</v>
      </c>
      <c r="H25" s="546">
        <f t="shared" si="3"/>
        <v>3.7974683544303799E-2</v>
      </c>
      <c r="I25" s="546">
        <f t="shared" si="5"/>
        <v>0.3681012658227848</v>
      </c>
      <c r="J25" s="547">
        <f t="shared" si="4"/>
        <v>5.3137862461268094E-2</v>
      </c>
    </row>
    <row r="26" spans="2:10" s="534" customFormat="1" ht="25.5" x14ac:dyDescent="0.25">
      <c r="B26" s="538" t="s">
        <v>728</v>
      </c>
      <c r="C26" s="539"/>
      <c r="D26" s="1053" t="s">
        <v>763</v>
      </c>
      <c r="E26" s="1054">
        <v>205</v>
      </c>
      <c r="F26" s="1054">
        <v>597</v>
      </c>
      <c r="G26" s="545">
        <f t="shared" si="2"/>
        <v>2.9121951219512194</v>
      </c>
      <c r="H26" s="546">
        <f t="shared" si="3"/>
        <v>3.4599156118143459E-2</v>
      </c>
      <c r="I26" s="546">
        <f t="shared" si="5"/>
        <v>0.40270042194092825</v>
      </c>
      <c r="J26" s="547">
        <f t="shared" si="4"/>
        <v>2.7609489895019192E-2</v>
      </c>
    </row>
    <row r="27" spans="2:10" s="534" customFormat="1" x14ac:dyDescent="0.25">
      <c r="B27" s="538" t="s">
        <v>729</v>
      </c>
      <c r="C27" s="539"/>
      <c r="D27" s="1053" t="s">
        <v>761</v>
      </c>
      <c r="E27" s="1054">
        <v>186</v>
      </c>
      <c r="F27" s="1054">
        <v>1294</v>
      </c>
      <c r="G27" s="545">
        <f t="shared" si="2"/>
        <v>6.956989247311828</v>
      </c>
      <c r="H27" s="546">
        <f t="shared" si="3"/>
        <v>3.1392405063291141E-2</v>
      </c>
      <c r="I27" s="546">
        <f t="shared" si="5"/>
        <v>0.43409282700421942</v>
      </c>
      <c r="J27" s="547">
        <f t="shared" si="4"/>
        <v>5.9843684965083473E-2</v>
      </c>
    </row>
    <row r="28" spans="2:10" s="534" customFormat="1" x14ac:dyDescent="0.25">
      <c r="B28" s="538" t="s">
        <v>730</v>
      </c>
      <c r="C28" s="539"/>
      <c r="D28" s="1053" t="s">
        <v>772</v>
      </c>
      <c r="E28" s="1054">
        <v>174</v>
      </c>
      <c r="F28" s="1054">
        <v>774</v>
      </c>
      <c r="G28" s="545">
        <f t="shared" si="2"/>
        <v>4.4482758620689653</v>
      </c>
      <c r="H28" s="546">
        <f t="shared" si="3"/>
        <v>2.9367088607594936E-2</v>
      </c>
      <c r="I28" s="546">
        <f t="shared" si="5"/>
        <v>0.46345991561181438</v>
      </c>
      <c r="J28" s="547">
        <f t="shared" si="4"/>
        <v>3.5795218054849004E-2</v>
      </c>
    </row>
    <row r="29" spans="2:10" s="534" customFormat="1" ht="25.5" x14ac:dyDescent="0.25">
      <c r="B29" s="538" t="s">
        <v>731</v>
      </c>
      <c r="C29" s="539"/>
      <c r="D29" s="1053" t="s">
        <v>773</v>
      </c>
      <c r="E29" s="1054">
        <v>172</v>
      </c>
      <c r="F29" s="1054">
        <v>554</v>
      </c>
      <c r="G29" s="545">
        <f t="shared" si="2"/>
        <v>3.2209302325581395</v>
      </c>
      <c r="H29" s="546">
        <f t="shared" si="3"/>
        <v>2.9029535864978903E-2</v>
      </c>
      <c r="I29" s="546">
        <f t="shared" si="5"/>
        <v>0.49248945147679329</v>
      </c>
      <c r="J29" s="547">
        <f t="shared" si="4"/>
        <v>2.5620866669749803E-2</v>
      </c>
    </row>
    <row r="30" spans="2:10" s="534" customFormat="1" x14ac:dyDescent="0.25">
      <c r="B30" s="538" t="s">
        <v>732</v>
      </c>
      <c r="C30" s="539"/>
      <c r="D30" s="1053" t="s">
        <v>774</v>
      </c>
      <c r="E30" s="1054">
        <v>147</v>
      </c>
      <c r="F30" s="1054">
        <v>465</v>
      </c>
      <c r="G30" s="545">
        <f t="shared" si="2"/>
        <v>3.1632653061224492</v>
      </c>
      <c r="H30" s="546">
        <f t="shared" si="3"/>
        <v>2.4810126582278481E-2</v>
      </c>
      <c r="I30" s="546">
        <f t="shared" si="5"/>
        <v>0.51729957805907179</v>
      </c>
      <c r="J30" s="547">
        <f t="shared" si="4"/>
        <v>2.1504879063959672E-2</v>
      </c>
    </row>
    <row r="31" spans="2:10" s="534" customFormat="1" ht="15.75" thickBot="1" x14ac:dyDescent="0.3">
      <c r="B31" s="578"/>
      <c r="C31" s="579"/>
      <c r="D31" s="585" t="s">
        <v>737</v>
      </c>
      <c r="E31" s="1055">
        <v>2860</v>
      </c>
      <c r="F31" s="1055">
        <v>10925</v>
      </c>
      <c r="G31" s="581">
        <f t="shared" si="2"/>
        <v>3.81993006993007</v>
      </c>
      <c r="H31" s="582">
        <f t="shared" si="3"/>
        <v>0.48270042194092827</v>
      </c>
      <c r="I31" s="582">
        <f t="shared" si="5"/>
        <v>1</v>
      </c>
      <c r="J31" s="583">
        <f t="shared" si="4"/>
        <v>0.50524904037367613</v>
      </c>
    </row>
    <row r="32" spans="2:10" s="534" customFormat="1" ht="15.75" thickBot="1" x14ac:dyDescent="0.3">
      <c r="B32" s="573"/>
      <c r="C32" s="574"/>
      <c r="D32" s="575" t="s">
        <v>734</v>
      </c>
      <c r="E32" s="572">
        <f>SUM(E21:E31)</f>
        <v>5925</v>
      </c>
      <c r="F32" s="572">
        <f>SUM(F21:F31)</f>
        <v>21623</v>
      </c>
      <c r="G32" s="576">
        <f t="shared" si="2"/>
        <v>3.6494514767932489</v>
      </c>
      <c r="H32" s="584">
        <f>SUM(H21:H31)</f>
        <v>1</v>
      </c>
      <c r="I32" s="574"/>
      <c r="J32" s="577"/>
    </row>
    <row r="35" spans="2:10" s="534" customFormat="1" ht="15.75" thickBot="1" x14ac:dyDescent="0.3">
      <c r="B35" s="532" t="s">
        <v>647</v>
      </c>
      <c r="C35" s="533"/>
      <c r="D35" s="533"/>
      <c r="E35" s="533"/>
      <c r="F35" s="533"/>
      <c r="G35" s="533"/>
      <c r="H35" s="533"/>
      <c r="I35" s="533"/>
      <c r="J35" s="533"/>
    </row>
    <row r="36" spans="2:10" s="534" customFormat="1" ht="26.25" thickBot="1" x14ac:dyDescent="0.3">
      <c r="B36" s="535" t="s">
        <v>720</v>
      </c>
      <c r="C36" s="103" t="s">
        <v>639</v>
      </c>
      <c r="D36" s="103" t="s">
        <v>721</v>
      </c>
      <c r="E36" s="103" t="s">
        <v>248</v>
      </c>
      <c r="F36" s="103" t="s">
        <v>638</v>
      </c>
      <c r="G36" s="103" t="s">
        <v>741</v>
      </c>
      <c r="H36" s="103" t="s">
        <v>742</v>
      </c>
      <c r="I36" s="103" t="s">
        <v>744</v>
      </c>
      <c r="J36" s="114" t="s">
        <v>745</v>
      </c>
    </row>
    <row r="37" spans="2:10" s="534" customFormat="1" x14ac:dyDescent="0.25">
      <c r="B37" s="536" t="s">
        <v>723</v>
      </c>
      <c r="C37" s="537"/>
      <c r="D37" s="1053" t="s">
        <v>769</v>
      </c>
      <c r="E37" s="1054">
        <v>866</v>
      </c>
      <c r="F37" s="1054">
        <v>2200</v>
      </c>
      <c r="G37" s="542">
        <f>IF(ISERROR(F37/E37),"",F37/E37)</f>
        <v>2.5404157043879909</v>
      </c>
      <c r="H37" s="543">
        <f>IF(ISERROR(E37/$E$48),"",E37/$E$48)</f>
        <v>0.1461603375527426</v>
      </c>
      <c r="I37" s="543">
        <f>IF(ISERROR(F37/$F$48),"",F37/$F$48)</f>
        <v>0.10174351385099199</v>
      </c>
      <c r="J37" s="544">
        <f>I37</f>
        <v>0.10174351385099199</v>
      </c>
    </row>
    <row r="38" spans="2:10" s="534" customFormat="1" x14ac:dyDescent="0.25">
      <c r="B38" s="538" t="s">
        <v>724</v>
      </c>
      <c r="C38" s="539"/>
      <c r="D38" s="1053" t="s">
        <v>770</v>
      </c>
      <c r="E38" s="1054">
        <v>350</v>
      </c>
      <c r="F38" s="1054">
        <v>1469</v>
      </c>
      <c r="G38" s="545">
        <f t="shared" ref="G38:G47" si="6">IF(ISERROR(F38/E38),"",F38/E38)</f>
        <v>4.1971428571428575</v>
      </c>
      <c r="H38" s="546">
        <f t="shared" ref="H38:H47" si="7">IF(ISERROR(E38/$E$48),"",E38/$E$48)</f>
        <v>5.9071729957805907E-2</v>
      </c>
      <c r="I38" s="546">
        <f t="shared" ref="I38:I47" si="8">IF(ISERROR(F38/$F$48),"",F38/$F$48)</f>
        <v>6.7936919021412384E-2</v>
      </c>
      <c r="J38" s="547">
        <f>SUM(J37,I38)</f>
        <v>0.16968043287240436</v>
      </c>
    </row>
    <row r="39" spans="2:10" s="534" customFormat="1" x14ac:dyDescent="0.25">
      <c r="B39" s="538" t="s">
        <v>725</v>
      </c>
      <c r="C39" s="539"/>
      <c r="D39" s="1053" t="s">
        <v>761</v>
      </c>
      <c r="E39" s="1054">
        <v>186</v>
      </c>
      <c r="F39" s="1054">
        <v>1294</v>
      </c>
      <c r="G39" s="545">
        <f t="shared" si="6"/>
        <v>6.956989247311828</v>
      </c>
      <c r="H39" s="546">
        <f t="shared" si="7"/>
        <v>3.1392405063291141E-2</v>
      </c>
      <c r="I39" s="546">
        <f t="shared" si="8"/>
        <v>5.9843684965083473E-2</v>
      </c>
      <c r="J39" s="547">
        <f t="shared" ref="J39:J47" si="9">SUM(J38,I39)</f>
        <v>0.22952411783748783</v>
      </c>
    </row>
    <row r="40" spans="2:10" s="534" customFormat="1" ht="25.5" x14ac:dyDescent="0.25">
      <c r="B40" s="538" t="s">
        <v>726</v>
      </c>
      <c r="C40" s="539"/>
      <c r="D40" s="1053" t="s">
        <v>760</v>
      </c>
      <c r="E40" s="1054">
        <v>386</v>
      </c>
      <c r="F40" s="1054">
        <v>1250</v>
      </c>
      <c r="G40" s="545">
        <f t="shared" si="6"/>
        <v>3.2383419689119171</v>
      </c>
      <c r="H40" s="546">
        <f t="shared" si="7"/>
        <v>6.5147679324894514E-2</v>
      </c>
      <c r="I40" s="546">
        <f t="shared" si="8"/>
        <v>5.7808814688063634E-2</v>
      </c>
      <c r="J40" s="547">
        <f t="shared" si="9"/>
        <v>0.28733293252555148</v>
      </c>
    </row>
    <row r="41" spans="2:10" s="534" customFormat="1" x14ac:dyDescent="0.25">
      <c r="B41" s="538" t="s">
        <v>727</v>
      </c>
      <c r="C41" s="539"/>
      <c r="D41" s="1053" t="s">
        <v>771</v>
      </c>
      <c r="E41" s="1054">
        <v>225</v>
      </c>
      <c r="F41" s="1054">
        <v>1149</v>
      </c>
      <c r="G41" s="545">
        <f t="shared" si="6"/>
        <v>5.1066666666666665</v>
      </c>
      <c r="H41" s="546">
        <f t="shared" si="7"/>
        <v>3.7974683544303799E-2</v>
      </c>
      <c r="I41" s="546">
        <f t="shared" si="8"/>
        <v>5.3137862461268094E-2</v>
      </c>
      <c r="J41" s="547">
        <f t="shared" si="9"/>
        <v>0.34047079498681959</v>
      </c>
    </row>
    <row r="42" spans="2:10" s="534" customFormat="1" x14ac:dyDescent="0.25">
      <c r="B42" s="538" t="s">
        <v>728</v>
      </c>
      <c r="C42" s="539"/>
      <c r="D42" s="1053" t="s">
        <v>767</v>
      </c>
      <c r="E42" s="1054">
        <v>354</v>
      </c>
      <c r="F42" s="1054">
        <v>946</v>
      </c>
      <c r="G42" s="545">
        <f t="shared" si="6"/>
        <v>2.6723163841807911</v>
      </c>
      <c r="H42" s="546">
        <f t="shared" si="7"/>
        <v>5.9746835443037973E-2</v>
      </c>
      <c r="I42" s="546">
        <f t="shared" si="8"/>
        <v>4.3749710955926557E-2</v>
      </c>
      <c r="J42" s="547">
        <f t="shared" si="9"/>
        <v>0.38422050594274615</v>
      </c>
    </row>
    <row r="43" spans="2:10" s="534" customFormat="1" x14ac:dyDescent="0.25">
      <c r="B43" s="538" t="s">
        <v>729</v>
      </c>
      <c r="C43" s="539"/>
      <c r="D43" s="1053" t="s">
        <v>772</v>
      </c>
      <c r="E43" s="1054">
        <v>174</v>
      </c>
      <c r="F43" s="1054">
        <v>774</v>
      </c>
      <c r="G43" s="545">
        <f t="shared" si="6"/>
        <v>4.4482758620689653</v>
      </c>
      <c r="H43" s="546">
        <f t="shared" si="7"/>
        <v>2.9367088607594936E-2</v>
      </c>
      <c r="I43" s="546">
        <f t="shared" si="8"/>
        <v>3.5795218054849004E-2</v>
      </c>
      <c r="J43" s="547">
        <f t="shared" si="9"/>
        <v>0.42001572399759513</v>
      </c>
    </row>
    <row r="44" spans="2:10" s="534" customFormat="1" ht="25.5" x14ac:dyDescent="0.25">
      <c r="B44" s="538" t="s">
        <v>730</v>
      </c>
      <c r="C44" s="539"/>
      <c r="D44" s="1053" t="s">
        <v>763</v>
      </c>
      <c r="E44" s="1054">
        <v>205</v>
      </c>
      <c r="F44" s="1054">
        <v>597</v>
      </c>
      <c r="G44" s="545">
        <f t="shared" si="6"/>
        <v>2.9121951219512194</v>
      </c>
      <c r="H44" s="546">
        <f t="shared" si="7"/>
        <v>3.4599156118143459E-2</v>
      </c>
      <c r="I44" s="546">
        <f t="shared" si="8"/>
        <v>2.7609489895019192E-2</v>
      </c>
      <c r="J44" s="547">
        <f t="shared" si="9"/>
        <v>0.44762521389261434</v>
      </c>
    </row>
    <row r="45" spans="2:10" s="534" customFormat="1" ht="25.5" x14ac:dyDescent="0.25">
      <c r="B45" s="538" t="s">
        <v>731</v>
      </c>
      <c r="C45" s="539"/>
      <c r="D45" s="1053" t="s">
        <v>773</v>
      </c>
      <c r="E45" s="1054">
        <v>172</v>
      </c>
      <c r="F45" s="1054">
        <v>554</v>
      </c>
      <c r="G45" s="545">
        <f t="shared" si="6"/>
        <v>3.2209302325581395</v>
      </c>
      <c r="H45" s="546">
        <f t="shared" si="7"/>
        <v>2.9029535864978903E-2</v>
      </c>
      <c r="I45" s="546">
        <f t="shared" si="8"/>
        <v>2.5620866669749803E-2</v>
      </c>
      <c r="J45" s="547">
        <f t="shared" si="9"/>
        <v>0.47324608056236417</v>
      </c>
    </row>
    <row r="46" spans="2:10" s="534" customFormat="1" ht="15.75" thickBot="1" x14ac:dyDescent="0.3">
      <c r="B46" s="538" t="s">
        <v>732</v>
      </c>
      <c r="C46" s="539"/>
      <c r="D46" s="1053" t="s">
        <v>774</v>
      </c>
      <c r="E46" s="1055">
        <v>147</v>
      </c>
      <c r="F46" s="1055">
        <v>465</v>
      </c>
      <c r="G46" s="545">
        <f t="shared" si="6"/>
        <v>3.1632653061224492</v>
      </c>
      <c r="H46" s="546">
        <f t="shared" si="7"/>
        <v>2.4810126582278481E-2</v>
      </c>
      <c r="I46" s="546">
        <f t="shared" si="8"/>
        <v>2.1504879063959672E-2</v>
      </c>
      <c r="J46" s="547">
        <f t="shared" si="9"/>
        <v>0.49475095962632382</v>
      </c>
    </row>
    <row r="47" spans="2:10" s="534" customFormat="1" ht="16.5" thickTop="1" thickBot="1" x14ac:dyDescent="0.3">
      <c r="B47" s="578"/>
      <c r="C47" s="579"/>
      <c r="D47" s="580" t="s">
        <v>737</v>
      </c>
      <c r="E47" s="1055">
        <v>2860</v>
      </c>
      <c r="F47" s="1055">
        <v>10925</v>
      </c>
      <c r="G47" s="581">
        <f t="shared" si="6"/>
        <v>3.81993006993007</v>
      </c>
      <c r="H47" s="582">
        <f t="shared" si="7"/>
        <v>0.48270042194092827</v>
      </c>
      <c r="I47" s="582">
        <f t="shared" si="8"/>
        <v>0.50524904037367613</v>
      </c>
      <c r="J47" s="583">
        <f t="shared" si="9"/>
        <v>1</v>
      </c>
    </row>
    <row r="48" spans="2:10" s="534" customFormat="1" ht="15.75" thickBot="1" x14ac:dyDescent="0.3">
      <c r="B48" s="573"/>
      <c r="C48" s="574"/>
      <c r="D48" s="575" t="s">
        <v>734</v>
      </c>
      <c r="E48" s="572">
        <f>SUM(E37:E47)</f>
        <v>5925</v>
      </c>
      <c r="F48" s="572">
        <f>SUM(F37:F47)</f>
        <v>21623</v>
      </c>
      <c r="G48" s="576">
        <f>SUM(G37:G47)</f>
        <v>42.276469421232889</v>
      </c>
      <c r="H48" s="574"/>
      <c r="I48" s="574"/>
      <c r="J48" s="577"/>
    </row>
    <row r="51" spans="2:7" s="534" customFormat="1" ht="15.75" thickBot="1" x14ac:dyDescent="0.3">
      <c r="B51" s="532" t="s">
        <v>648</v>
      </c>
      <c r="C51" s="533"/>
      <c r="D51" s="533"/>
      <c r="E51" s="533"/>
      <c r="F51" s="533"/>
      <c r="G51" s="533"/>
    </row>
    <row r="52" spans="2:7" s="534" customFormat="1" ht="24" x14ac:dyDescent="0.25">
      <c r="B52" s="841" t="s">
        <v>720</v>
      </c>
      <c r="C52" s="108" t="s">
        <v>738</v>
      </c>
      <c r="D52" s="108" t="s">
        <v>640</v>
      </c>
      <c r="E52" s="109" t="s">
        <v>516</v>
      </c>
      <c r="F52" s="109" t="s">
        <v>515</v>
      </c>
      <c r="G52" s="842" t="s">
        <v>746</v>
      </c>
    </row>
    <row r="53" spans="2:7" s="534" customFormat="1" x14ac:dyDescent="0.25">
      <c r="B53" s="538" t="s">
        <v>723</v>
      </c>
      <c r="C53" s="1056">
        <v>73.599999999999994</v>
      </c>
      <c r="D53" s="1057" t="s">
        <v>775</v>
      </c>
      <c r="E53" s="1058">
        <v>313</v>
      </c>
      <c r="F53" s="546">
        <f>IF(ISERROR(E53/$E$64),"",E53/$E$64)</f>
        <v>0.30067243035542746</v>
      </c>
      <c r="G53" s="547">
        <f>F53</f>
        <v>0.30067243035542746</v>
      </c>
    </row>
    <row r="54" spans="2:7" s="534" customFormat="1" x14ac:dyDescent="0.25">
      <c r="B54" s="538" t="s">
        <v>724</v>
      </c>
      <c r="C54" s="1056">
        <v>74.989999999999995</v>
      </c>
      <c r="D54" s="1057" t="s">
        <v>776</v>
      </c>
      <c r="E54" s="1058">
        <v>213</v>
      </c>
      <c r="F54" s="546">
        <f t="shared" ref="F54:F63" si="10">IF(ISERROR(E54/$E$64),"",E54/$E$64)</f>
        <v>0.20461095100864554</v>
      </c>
      <c r="G54" s="547">
        <f>IF(ISERROR(G53+F54),"",G53+F54)</f>
        <v>0.50528338136407303</v>
      </c>
    </row>
    <row r="55" spans="2:7" s="534" customFormat="1" x14ac:dyDescent="0.25">
      <c r="B55" s="538" t="s">
        <v>725</v>
      </c>
      <c r="C55" s="1056">
        <v>47</v>
      </c>
      <c r="D55" s="1057" t="s">
        <v>777</v>
      </c>
      <c r="E55" s="1058">
        <v>107</v>
      </c>
      <c r="F55" s="546">
        <f t="shared" si="10"/>
        <v>0.10278578290105668</v>
      </c>
      <c r="G55" s="547">
        <f t="shared" ref="G55:G63" si="11">IF(ISERROR(G54+F55),"",G54+F55)</f>
        <v>0.60806916426512969</v>
      </c>
    </row>
    <row r="56" spans="2:7" s="534" customFormat="1" x14ac:dyDescent="0.25">
      <c r="B56" s="538" t="s">
        <v>726</v>
      </c>
      <c r="C56" s="1056">
        <v>66.39</v>
      </c>
      <c r="D56" s="1057" t="s">
        <v>778</v>
      </c>
      <c r="E56" s="1058">
        <v>100</v>
      </c>
      <c r="F56" s="546">
        <f t="shared" si="10"/>
        <v>9.6061479346781942E-2</v>
      </c>
      <c r="G56" s="547">
        <f t="shared" si="11"/>
        <v>0.70413064361191169</v>
      </c>
    </row>
    <row r="57" spans="2:7" s="534" customFormat="1" x14ac:dyDescent="0.25">
      <c r="B57" s="538" t="s">
        <v>727</v>
      </c>
      <c r="C57" s="1056">
        <v>69.52</v>
      </c>
      <c r="D57" s="1057" t="s">
        <v>779</v>
      </c>
      <c r="E57" s="1058">
        <v>90</v>
      </c>
      <c r="F57" s="546">
        <f t="shared" si="10"/>
        <v>8.645533141210375E-2</v>
      </c>
      <c r="G57" s="547">
        <f t="shared" si="11"/>
        <v>0.7905859750240154</v>
      </c>
    </row>
    <row r="58" spans="2:7" s="534" customFormat="1" x14ac:dyDescent="0.25">
      <c r="B58" s="538" t="s">
        <v>728</v>
      </c>
      <c r="C58" s="1056">
        <v>51.22</v>
      </c>
      <c r="D58" s="1057" t="s">
        <v>780</v>
      </c>
      <c r="E58" s="1058">
        <v>87</v>
      </c>
      <c r="F58" s="546">
        <f t="shared" si="10"/>
        <v>8.3573487031700283E-2</v>
      </c>
      <c r="G58" s="547">
        <f t="shared" si="11"/>
        <v>0.87415946205571571</v>
      </c>
    </row>
    <row r="59" spans="2:7" s="534" customFormat="1" x14ac:dyDescent="0.25">
      <c r="B59" s="538" t="s">
        <v>729</v>
      </c>
      <c r="C59" s="1056">
        <v>68.400000000000006</v>
      </c>
      <c r="D59" s="1057" t="s">
        <v>781</v>
      </c>
      <c r="E59" s="1058">
        <v>45</v>
      </c>
      <c r="F59" s="546">
        <f t="shared" si="10"/>
        <v>4.3227665706051875E-2</v>
      </c>
      <c r="G59" s="547">
        <f t="shared" si="11"/>
        <v>0.91738712776176756</v>
      </c>
    </row>
    <row r="60" spans="2:7" s="534" customFormat="1" x14ac:dyDescent="0.25">
      <c r="B60" s="538" t="s">
        <v>730</v>
      </c>
      <c r="C60" s="1056">
        <v>53.9</v>
      </c>
      <c r="D60" s="1057" t="s">
        <v>782</v>
      </c>
      <c r="E60" s="1058">
        <v>43</v>
      </c>
      <c r="F60" s="546">
        <f t="shared" si="10"/>
        <v>4.1306436119116233E-2</v>
      </c>
      <c r="G60" s="547">
        <f t="shared" si="11"/>
        <v>0.95869356388088378</v>
      </c>
    </row>
    <row r="61" spans="2:7" s="534" customFormat="1" x14ac:dyDescent="0.25">
      <c r="B61" s="538" t="s">
        <v>731</v>
      </c>
      <c r="C61" s="1056">
        <v>68.5</v>
      </c>
      <c r="D61" s="1057" t="s">
        <v>783</v>
      </c>
      <c r="E61" s="1058">
        <v>22</v>
      </c>
      <c r="F61" s="546">
        <f t="shared" si="10"/>
        <v>2.1133525456292025E-2</v>
      </c>
      <c r="G61" s="547">
        <f t="shared" si="11"/>
        <v>0.97982708933717577</v>
      </c>
    </row>
    <row r="62" spans="2:7" s="534" customFormat="1" x14ac:dyDescent="0.25">
      <c r="B62" s="538" t="s">
        <v>732</v>
      </c>
      <c r="C62" s="1056">
        <v>54.11</v>
      </c>
      <c r="D62" s="1057" t="s">
        <v>784</v>
      </c>
      <c r="E62" s="1058">
        <v>21</v>
      </c>
      <c r="F62" s="546">
        <f t="shared" si="10"/>
        <v>2.0172910662824207E-2</v>
      </c>
      <c r="G62" s="547">
        <f t="shared" si="11"/>
        <v>1</v>
      </c>
    </row>
    <row r="63" spans="2:7" s="534" customFormat="1" x14ac:dyDescent="0.25">
      <c r="B63" s="538"/>
      <c r="C63" s="539"/>
      <c r="D63" s="548" t="s">
        <v>641</v>
      </c>
      <c r="E63" s="110"/>
      <c r="F63" s="546">
        <f t="shared" si="10"/>
        <v>0</v>
      </c>
      <c r="G63" s="547">
        <f t="shared" si="11"/>
        <v>1</v>
      </c>
    </row>
    <row r="64" spans="2:7" ht="15.75" thickBot="1" x14ac:dyDescent="0.3">
      <c r="B64" s="550"/>
      <c r="C64" s="549"/>
      <c r="D64" s="264" t="s">
        <v>642</v>
      </c>
      <c r="E64" s="268">
        <f>SUM(E53:E63)</f>
        <v>1041</v>
      </c>
      <c r="F64" s="551">
        <f>SUM(F53:F63)</f>
        <v>1</v>
      </c>
      <c r="G64" s="552">
        <f>F64</f>
        <v>1</v>
      </c>
    </row>
    <row r="65" spans="4:7" x14ac:dyDescent="0.25">
      <c r="D65" s="554" t="s">
        <v>643</v>
      </c>
      <c r="E65" s="555">
        <f>'5_Produccion_Desagregada_10_09'!C28</f>
        <v>1279</v>
      </c>
      <c r="F65" s="556"/>
      <c r="G65" s="556"/>
    </row>
    <row r="66" spans="4:7" x14ac:dyDescent="0.25">
      <c r="D66" s="557" t="s">
        <v>739</v>
      </c>
      <c r="E66" s="558">
        <f>IF(E65&gt;0,E65-E64,"")</f>
        <v>238</v>
      </c>
      <c r="F66" s="556"/>
      <c r="G66" s="556"/>
    </row>
    <row r="67" spans="4:7" ht="15.75" thickBot="1" x14ac:dyDescent="0.3">
      <c r="D67" s="559" t="s">
        <v>740</v>
      </c>
      <c r="E67" s="560">
        <f>IF(ISERROR(E66/E65),"",E66/E65)</f>
        <v>0.18608287724784989</v>
      </c>
      <c r="F67" s="556"/>
      <c r="G67" s="556"/>
    </row>
  </sheetData>
  <sheetProtection password="EADF" sheet="1" objects="1" scenarios="1"/>
  <protectedRanges>
    <protectedRange sqref="C53:E62 E63" name="Rango4"/>
    <protectedRange sqref="D37:F46" name="Rango3"/>
    <protectedRange sqref="D21:F30 E31:F31 E47:F47" name="Rango2"/>
    <protectedRange sqref="D5:E15" name="Rango1"/>
  </protectedRanges>
  <phoneticPr fontId="60" type="noConversion"/>
  <pageMargins left="0.70866141732283472" right="0.70866141732283472" top="0.74803149606299213" bottom="0.74803149606299213" header="0.31496062992125984" footer="0.31496062992125984"/>
  <pageSetup scale="79" orientation="landscape" r:id="rId1"/>
  <rowBreaks count="1" manualBreakCount="1">
    <brk id="3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
  <sheetViews>
    <sheetView view="pageBreakPreview" zoomScale="82" zoomScaleNormal="100" zoomScaleSheetLayoutView="82" workbookViewId="0">
      <selection activeCell="K11" sqref="K11"/>
    </sheetView>
  </sheetViews>
  <sheetFormatPr baseColWidth="10" defaultRowHeight="15" x14ac:dyDescent="0.25"/>
  <cols>
    <col min="1" max="1" width="37.140625" style="787" customWidth="1"/>
    <col min="2" max="11" width="10.42578125" style="787" customWidth="1"/>
    <col min="12" max="21" width="10.85546875" style="787" customWidth="1"/>
    <col min="22" max="16384" width="11.42578125" style="787"/>
  </cols>
  <sheetData>
    <row r="1" spans="1:21" s="785" customFormat="1" ht="15.75" thickBot="1" x14ac:dyDescent="0.3">
      <c r="A1" s="812" t="s">
        <v>645</v>
      </c>
    </row>
    <row r="2" spans="1:21" s="785" customFormat="1" ht="34.5" customHeight="1" thickBot="1" x14ac:dyDescent="0.3">
      <c r="A2" s="811" t="s">
        <v>703</v>
      </c>
      <c r="B2" s="265" t="s">
        <v>704</v>
      </c>
      <c r="C2" s="265" t="s">
        <v>705</v>
      </c>
      <c r="D2" s="265" t="s">
        <v>706</v>
      </c>
      <c r="E2" s="265" t="s">
        <v>707</v>
      </c>
      <c r="F2" s="265" t="s">
        <v>708</v>
      </c>
      <c r="G2" s="265" t="s">
        <v>709</v>
      </c>
      <c r="H2" s="265" t="s">
        <v>710</v>
      </c>
      <c r="I2" s="265" t="s">
        <v>711</v>
      </c>
      <c r="J2" s="265" t="s">
        <v>63</v>
      </c>
      <c r="K2" s="265" t="s">
        <v>569</v>
      </c>
      <c r="L2" s="266" t="s">
        <v>712</v>
      </c>
      <c r="M2" s="266" t="s">
        <v>713</v>
      </c>
      <c r="N2" s="266" t="s">
        <v>714</v>
      </c>
      <c r="O2" s="266" t="s">
        <v>715</v>
      </c>
      <c r="P2" s="266" t="s">
        <v>716</v>
      </c>
      <c r="Q2" s="266" t="s">
        <v>717</v>
      </c>
      <c r="R2" s="266" t="s">
        <v>718</v>
      </c>
      <c r="S2" s="266" t="s">
        <v>64</v>
      </c>
      <c r="T2" s="266" t="s">
        <v>570</v>
      </c>
      <c r="U2" s="267" t="s">
        <v>719</v>
      </c>
    </row>
    <row r="3" spans="1:21" s="786" customFormat="1" ht="17.25" customHeight="1" thickTop="1" x14ac:dyDescent="0.25">
      <c r="A3" s="788" t="s">
        <v>591</v>
      </c>
      <c r="B3" s="789"/>
      <c r="C3" s="789"/>
      <c r="D3" s="789"/>
      <c r="E3" s="789"/>
      <c r="F3" s="789"/>
      <c r="G3" s="789"/>
      <c r="H3" s="789"/>
      <c r="I3" s="789"/>
      <c r="J3" s="789"/>
      <c r="K3" s="789"/>
      <c r="L3" s="790"/>
      <c r="M3" s="790"/>
      <c r="N3" s="790"/>
      <c r="O3" s="790"/>
      <c r="P3" s="790"/>
      <c r="Q3" s="790"/>
      <c r="R3" s="790"/>
      <c r="S3" s="790"/>
      <c r="T3" s="791"/>
      <c r="U3" s="792"/>
    </row>
    <row r="4" spans="1:21" ht="17.25" customHeight="1" x14ac:dyDescent="0.25">
      <c r="A4" s="793" t="s">
        <v>699</v>
      </c>
      <c r="B4" s="1059">
        <v>113737</v>
      </c>
      <c r="C4" s="1060">
        <v>110844</v>
      </c>
      <c r="D4" s="1060">
        <v>123046</v>
      </c>
      <c r="E4" s="1060">
        <v>101422</v>
      </c>
      <c r="F4" s="1060">
        <v>87409</v>
      </c>
      <c r="G4" s="1060">
        <v>60519</v>
      </c>
      <c r="H4" s="1060">
        <v>53033</v>
      </c>
      <c r="I4" s="1061">
        <v>42852</v>
      </c>
      <c r="J4" s="1062">
        <v>51897</v>
      </c>
      <c r="K4" s="1062">
        <v>48964</v>
      </c>
      <c r="L4" s="540">
        <f t="shared" ref="L4:L21" si="0">IF(AND(ISNUMBER(B4),ISNUMBER(C4),B4&gt;0),C4/B4-1,"")</f>
        <v>-2.5435873989994473E-2</v>
      </c>
      <c r="M4" s="540">
        <f t="shared" ref="M4:M13" si="1">IF(AND(ISNUMBER(C4),ISNUMBER(D4),C4&gt;0),D4/C4-1,"")</f>
        <v>0.11008263866334667</v>
      </c>
      <c r="N4" s="540">
        <f t="shared" ref="N4:N13" si="2">IF(AND(ISNUMBER(D4),ISNUMBER(E4),D4&gt;0),E4/D4-1,"")</f>
        <v>-0.17573915446255872</v>
      </c>
      <c r="O4" s="540">
        <f t="shared" ref="O4:O13" si="3">IF(AND(ISNUMBER(E4),ISNUMBER(F4),E4&gt;0),F4/E4-1,"")</f>
        <v>-0.13816528958214191</v>
      </c>
      <c r="P4" s="540">
        <f t="shared" ref="P4:P13" si="4">IF(AND(ISNUMBER(F4),ISNUMBER(G4),F4&gt;0),G4/F4-1,"")</f>
        <v>-0.30763422530860662</v>
      </c>
      <c r="Q4" s="540">
        <f t="shared" ref="Q4:Q13" si="5">IF(AND(ISNUMBER(G4),ISNUMBER(H4),G4&gt;0),H4/G4-1,"")</f>
        <v>-0.12369669029560959</v>
      </c>
      <c r="R4" s="540">
        <f t="shared" ref="R4:R13" si="6">IF(AND(ISNUMBER(H4),ISNUMBER(I4),H4&gt;0),I4/H4-1,"")</f>
        <v>-0.19197480813832901</v>
      </c>
      <c r="S4" s="540">
        <f t="shared" ref="S4:S13" si="7">IF(AND(ISNUMBER(I4),ISNUMBER(J4),I4&gt;0),J4/I4-1,"")</f>
        <v>0.21107532903948467</v>
      </c>
      <c r="T4" s="540">
        <f t="shared" ref="T4:T13" si="8">IF(AND(ISNUMBER(J4),ISNUMBER(K4),J4&gt;0),K4/J4-1,"")</f>
        <v>-5.6515790893500562E-2</v>
      </c>
      <c r="U4" s="795">
        <f>IF(ISERROR(AVERAGE(L4:T4)),"",AVERAGE(L4:T4))</f>
        <v>-7.7555984996434402E-2</v>
      </c>
    </row>
    <row r="5" spans="1:21" ht="17.25" customHeight="1" x14ac:dyDescent="0.25">
      <c r="A5" s="793" t="s">
        <v>644</v>
      </c>
      <c r="B5" s="1059">
        <v>13631</v>
      </c>
      <c r="C5" s="1060">
        <v>11312</v>
      </c>
      <c r="D5" s="1060">
        <v>11264</v>
      </c>
      <c r="E5" s="1060">
        <v>9531</v>
      </c>
      <c r="F5" s="1060">
        <v>10733</v>
      </c>
      <c r="G5" s="1060">
        <v>11171</v>
      </c>
      <c r="H5" s="1060">
        <v>11940</v>
      </c>
      <c r="I5" s="1061">
        <v>11536</v>
      </c>
      <c r="J5" s="1062">
        <v>13678</v>
      </c>
      <c r="K5" s="1062">
        <v>20591</v>
      </c>
      <c r="L5" s="540">
        <f t="shared" si="0"/>
        <v>-0.17012691658719092</v>
      </c>
      <c r="M5" s="540">
        <f t="shared" si="1"/>
        <v>-4.2432814710042788E-3</v>
      </c>
      <c r="N5" s="540">
        <f t="shared" si="2"/>
        <v>-0.15385298295454541</v>
      </c>
      <c r="O5" s="540">
        <f t="shared" si="3"/>
        <v>0.12611478333857939</v>
      </c>
      <c r="P5" s="540">
        <f t="shared" si="4"/>
        <v>4.0808720767725681E-2</v>
      </c>
      <c r="Q5" s="540">
        <f t="shared" si="5"/>
        <v>6.8838958016292251E-2</v>
      </c>
      <c r="R5" s="540">
        <f t="shared" si="6"/>
        <v>-3.383584589614741E-2</v>
      </c>
      <c r="S5" s="540">
        <f t="shared" si="7"/>
        <v>0.18567961165048552</v>
      </c>
      <c r="T5" s="540">
        <f t="shared" si="8"/>
        <v>0.50541014768240977</v>
      </c>
      <c r="U5" s="795">
        <f>IF(ISERROR(AVERAGE(L5:T5)),"",AVERAGE(L5:T5))</f>
        <v>6.2754799394067182E-2</v>
      </c>
    </row>
    <row r="6" spans="1:21" ht="17.25" customHeight="1" x14ac:dyDescent="0.25">
      <c r="A6" s="796" t="s">
        <v>700</v>
      </c>
      <c r="B6" s="797">
        <f>IF(ISERROR(B5/SUM(B4:B5)),"",B5/SUM(B4:B5))</f>
        <v>0.10702060172099742</v>
      </c>
      <c r="C6" s="797">
        <f t="shared" ref="C6:I6" si="9">IF(ISERROR(C5/SUM(C4:C5)),"",C5/SUM(C4:C5))</f>
        <v>9.2602901208291039E-2</v>
      </c>
      <c r="D6" s="797">
        <f t="shared" si="9"/>
        <v>8.3865683865683868E-2</v>
      </c>
      <c r="E6" s="797">
        <f t="shared" si="9"/>
        <v>8.5901237460906874E-2</v>
      </c>
      <c r="F6" s="797">
        <f t="shared" si="9"/>
        <v>0.10936194493692812</v>
      </c>
      <c r="G6" s="797">
        <f t="shared" si="9"/>
        <v>0.15582368531175897</v>
      </c>
      <c r="H6" s="797">
        <f t="shared" si="9"/>
        <v>0.18376864235913379</v>
      </c>
      <c r="I6" s="797">
        <f t="shared" si="9"/>
        <v>0.21210561153195559</v>
      </c>
      <c r="J6" s="797">
        <f>IF(ISERROR(J5/SUM(J4:J5)),"",J5/SUM(J4:J5))</f>
        <v>0.20858558902020588</v>
      </c>
      <c r="K6" s="797">
        <f>IF(ISERROR(K5/SUM(K4:K5)),"",K5/SUM(K4:K5))</f>
        <v>0.29603910574365611</v>
      </c>
      <c r="L6" s="798">
        <f>IF(AND(ISNUMBER(B6),ISNUMBER(C6),B6&gt;0),C6/B6-1,"")</f>
        <v>-0.13471892589702783</v>
      </c>
      <c r="M6" s="798">
        <f t="shared" si="1"/>
        <v>-9.4351442866294377E-2</v>
      </c>
      <c r="N6" s="798">
        <f t="shared" si="2"/>
        <v>2.4271591208664844E-2</v>
      </c>
      <c r="O6" s="798">
        <f t="shared" si="3"/>
        <v>0.27311256705350817</v>
      </c>
      <c r="P6" s="798">
        <f t="shared" si="4"/>
        <v>0.42484376445231065</v>
      </c>
      <c r="Q6" s="798">
        <f t="shared" si="5"/>
        <v>0.17933703076951946</v>
      </c>
      <c r="R6" s="798">
        <f t="shared" si="6"/>
        <v>0.15419915394185524</v>
      </c>
      <c r="S6" s="798">
        <f t="shared" si="7"/>
        <v>-1.6595612375957303E-2</v>
      </c>
      <c r="T6" s="798">
        <f t="shared" si="8"/>
        <v>0.41926921765903269</v>
      </c>
      <c r="U6" s="799">
        <f>IF(ISERROR(AVERAGE(L6:T6)),"",AVERAGE(L6:T6))</f>
        <v>0.13659637154951237</v>
      </c>
    </row>
    <row r="7" spans="1:21" s="785" customFormat="1" ht="17.25" customHeight="1" x14ac:dyDescent="0.25">
      <c r="A7" s="793" t="s">
        <v>701</v>
      </c>
      <c r="B7" s="1059">
        <v>13584</v>
      </c>
      <c r="C7" s="1060">
        <v>12268</v>
      </c>
      <c r="D7" s="1060">
        <v>15259</v>
      </c>
      <c r="E7" s="1060">
        <v>11149</v>
      </c>
      <c r="F7" s="1060">
        <v>4471</v>
      </c>
      <c r="G7" s="1060">
        <v>6405</v>
      </c>
      <c r="H7" s="1060">
        <v>7656</v>
      </c>
      <c r="I7" s="1063">
        <v>4594</v>
      </c>
      <c r="J7" s="1062">
        <v>3225</v>
      </c>
      <c r="K7" s="1062">
        <v>3917</v>
      </c>
      <c r="L7" s="540">
        <f t="shared" si="0"/>
        <v>-9.6878680800942307E-2</v>
      </c>
      <c r="M7" s="540">
        <f t="shared" si="1"/>
        <v>0.24380502119334846</v>
      </c>
      <c r="N7" s="540">
        <f t="shared" si="2"/>
        <v>-0.26934923651615439</v>
      </c>
      <c r="O7" s="540">
        <f t="shared" si="3"/>
        <v>-0.59897748677011386</v>
      </c>
      <c r="P7" s="540">
        <f t="shared" si="4"/>
        <v>0.43256542160590472</v>
      </c>
      <c r="Q7" s="540">
        <f t="shared" si="5"/>
        <v>0.19531615925058543</v>
      </c>
      <c r="R7" s="540">
        <f t="shared" si="6"/>
        <v>-0.39994775339602928</v>
      </c>
      <c r="S7" s="540">
        <f t="shared" si="7"/>
        <v>-0.29799738789725727</v>
      </c>
      <c r="T7" s="540">
        <f t="shared" si="8"/>
        <v>0.21457364341085272</v>
      </c>
      <c r="U7" s="795">
        <f t="shared" ref="U7:U13" si="10">IF(ISERROR(AVERAGE(L7:T7)),"",AVERAGE(L7:T7))</f>
        <v>-6.409892221331176E-2</v>
      </c>
    </row>
    <row r="8" spans="1:21" s="786" customFormat="1" ht="17.25" customHeight="1" x14ac:dyDescent="0.25">
      <c r="A8" s="793" t="s">
        <v>371</v>
      </c>
      <c r="B8" s="1062"/>
      <c r="C8" s="1062"/>
      <c r="D8" s="1062"/>
      <c r="E8" s="1062"/>
      <c r="F8" s="1062">
        <v>686</v>
      </c>
      <c r="G8" s="1062">
        <v>759</v>
      </c>
      <c r="H8" s="1062">
        <v>896</v>
      </c>
      <c r="I8" s="1062">
        <v>788</v>
      </c>
      <c r="J8" s="1062">
        <v>812</v>
      </c>
      <c r="K8" s="1062">
        <v>874</v>
      </c>
      <c r="L8" s="540" t="str">
        <f t="shared" si="0"/>
        <v/>
      </c>
      <c r="M8" s="540" t="str">
        <f t="shared" si="1"/>
        <v/>
      </c>
      <c r="N8" s="540" t="str">
        <f t="shared" si="2"/>
        <v/>
      </c>
      <c r="O8" s="540" t="str">
        <f t="shared" si="3"/>
        <v/>
      </c>
      <c r="P8" s="540">
        <f t="shared" si="4"/>
        <v>0.10641399416909625</v>
      </c>
      <c r="Q8" s="540">
        <f t="shared" si="5"/>
        <v>0.18050065876152832</v>
      </c>
      <c r="R8" s="540">
        <f t="shared" si="6"/>
        <v>-0.1205357142857143</v>
      </c>
      <c r="S8" s="540">
        <f t="shared" si="7"/>
        <v>3.0456852791878264E-2</v>
      </c>
      <c r="T8" s="540">
        <f t="shared" si="8"/>
        <v>7.6354679802955738E-2</v>
      </c>
      <c r="U8" s="795">
        <f t="shared" si="10"/>
        <v>5.4638094247948854E-2</v>
      </c>
    </row>
    <row r="9" spans="1:21" s="786" customFormat="1" ht="17.25" customHeight="1" x14ac:dyDescent="0.25">
      <c r="A9" s="793" t="s">
        <v>659</v>
      </c>
      <c r="B9" s="1062"/>
      <c r="C9" s="1062"/>
      <c r="D9" s="1062"/>
      <c r="E9" s="1062"/>
      <c r="F9" s="1062">
        <v>164</v>
      </c>
      <c r="G9" s="1062">
        <v>179</v>
      </c>
      <c r="H9" s="1062">
        <v>200</v>
      </c>
      <c r="I9" s="1062">
        <v>242</v>
      </c>
      <c r="J9" s="1062">
        <v>261</v>
      </c>
      <c r="K9" s="1062">
        <v>223</v>
      </c>
      <c r="L9" s="540" t="str">
        <f t="shared" si="0"/>
        <v/>
      </c>
      <c r="M9" s="540" t="str">
        <f t="shared" si="1"/>
        <v/>
      </c>
      <c r="N9" s="540" t="str">
        <f t="shared" si="2"/>
        <v/>
      </c>
      <c r="O9" s="540" t="str">
        <f t="shared" si="3"/>
        <v/>
      </c>
      <c r="P9" s="540">
        <f t="shared" si="4"/>
        <v>9.1463414634146423E-2</v>
      </c>
      <c r="Q9" s="540">
        <f t="shared" si="5"/>
        <v>0.11731843575418988</v>
      </c>
      <c r="R9" s="540">
        <f t="shared" si="6"/>
        <v>0.20999999999999996</v>
      </c>
      <c r="S9" s="540">
        <f t="shared" si="7"/>
        <v>7.8512396694214948E-2</v>
      </c>
      <c r="T9" s="540">
        <f t="shared" si="8"/>
        <v>-0.14559386973180077</v>
      </c>
      <c r="U9" s="795">
        <f t="shared" si="10"/>
        <v>7.0340075470150087E-2</v>
      </c>
    </row>
    <row r="10" spans="1:21" s="785" customFormat="1" ht="17.25" customHeight="1" x14ac:dyDescent="0.25">
      <c r="A10" s="793" t="s">
        <v>585</v>
      </c>
      <c r="B10" s="1062">
        <v>588</v>
      </c>
      <c r="C10" s="1062">
        <v>476</v>
      </c>
      <c r="D10" s="1062">
        <v>557</v>
      </c>
      <c r="E10" s="1062">
        <v>540</v>
      </c>
      <c r="F10" s="1062">
        <v>543</v>
      </c>
      <c r="G10" s="1062">
        <v>549</v>
      </c>
      <c r="H10" s="1062">
        <v>685</v>
      </c>
      <c r="I10" s="1062">
        <v>833</v>
      </c>
      <c r="J10" s="1062">
        <v>938</v>
      </c>
      <c r="K10" s="1062">
        <v>1279</v>
      </c>
      <c r="L10" s="540">
        <f t="shared" si="0"/>
        <v>-0.19047619047619047</v>
      </c>
      <c r="M10" s="540">
        <f t="shared" si="1"/>
        <v>0.17016806722689082</v>
      </c>
      <c r="N10" s="540">
        <f t="shared" si="2"/>
        <v>-3.0520646319569078E-2</v>
      </c>
      <c r="O10" s="540">
        <f t="shared" si="3"/>
        <v>5.5555555555555358E-3</v>
      </c>
      <c r="P10" s="540">
        <f t="shared" si="4"/>
        <v>1.1049723756906049E-2</v>
      </c>
      <c r="Q10" s="540">
        <f t="shared" si="5"/>
        <v>0.24772313296903459</v>
      </c>
      <c r="R10" s="540">
        <f t="shared" si="6"/>
        <v>0.21605839416058403</v>
      </c>
      <c r="S10" s="540">
        <f t="shared" si="7"/>
        <v>0.12605042016806722</v>
      </c>
      <c r="T10" s="540">
        <f t="shared" si="8"/>
        <v>0.36353944562899776</v>
      </c>
      <c r="U10" s="795">
        <f t="shared" si="10"/>
        <v>0.10212754474114183</v>
      </c>
    </row>
    <row r="11" spans="1:21" s="785" customFormat="1" ht="17.25" customHeight="1" x14ac:dyDescent="0.25">
      <c r="A11" s="793" t="s">
        <v>592</v>
      </c>
      <c r="B11" s="1062"/>
      <c r="C11" s="1062"/>
      <c r="D11" s="1062"/>
      <c r="E11" s="1062"/>
      <c r="F11" s="1062">
        <v>505</v>
      </c>
      <c r="G11" s="1062">
        <v>529</v>
      </c>
      <c r="H11" s="1062">
        <v>659</v>
      </c>
      <c r="I11" s="1062">
        <v>777</v>
      </c>
      <c r="J11" s="1062">
        <v>299</v>
      </c>
      <c r="K11" s="1062">
        <v>496</v>
      </c>
      <c r="L11" s="540" t="str">
        <f t="shared" si="0"/>
        <v/>
      </c>
      <c r="M11" s="540" t="str">
        <f t="shared" si="1"/>
        <v/>
      </c>
      <c r="N11" s="540" t="str">
        <f t="shared" si="2"/>
        <v/>
      </c>
      <c r="O11" s="540" t="str">
        <f t="shared" si="3"/>
        <v/>
      </c>
      <c r="P11" s="540">
        <f t="shared" si="4"/>
        <v>4.7524752475247567E-2</v>
      </c>
      <c r="Q11" s="540">
        <f t="shared" si="5"/>
        <v>0.24574669187145548</v>
      </c>
      <c r="R11" s="540">
        <f t="shared" si="6"/>
        <v>0.17905918057663128</v>
      </c>
      <c r="S11" s="540">
        <f t="shared" si="7"/>
        <v>-0.61518661518661522</v>
      </c>
      <c r="T11" s="540">
        <f t="shared" si="8"/>
        <v>0.65886287625418061</v>
      </c>
      <c r="U11" s="795">
        <f t="shared" si="10"/>
        <v>0.10320137719817994</v>
      </c>
    </row>
    <row r="12" spans="1:21" s="785" customFormat="1" ht="17.25" customHeight="1" x14ac:dyDescent="0.25">
      <c r="A12" s="793" t="s">
        <v>586</v>
      </c>
      <c r="B12" s="1062"/>
      <c r="C12" s="1062"/>
      <c r="D12" s="1062"/>
      <c r="E12" s="1062"/>
      <c r="F12" s="1062">
        <v>38</v>
      </c>
      <c r="G12" s="1062">
        <v>20</v>
      </c>
      <c r="H12" s="1062">
        <v>26</v>
      </c>
      <c r="I12" s="1062">
        <v>56</v>
      </c>
      <c r="J12" s="1062">
        <v>3</v>
      </c>
      <c r="K12" s="1062">
        <v>95</v>
      </c>
      <c r="L12" s="540" t="str">
        <f t="shared" si="0"/>
        <v/>
      </c>
      <c r="M12" s="540" t="str">
        <f t="shared" si="1"/>
        <v/>
      </c>
      <c r="N12" s="540" t="str">
        <f t="shared" si="2"/>
        <v/>
      </c>
      <c r="O12" s="540" t="str">
        <f t="shared" si="3"/>
        <v/>
      </c>
      <c r="P12" s="540">
        <f t="shared" si="4"/>
        <v>-0.47368421052631582</v>
      </c>
      <c r="Q12" s="540">
        <f t="shared" si="5"/>
        <v>0.30000000000000004</v>
      </c>
      <c r="R12" s="540">
        <f t="shared" si="6"/>
        <v>1.1538461538461537</v>
      </c>
      <c r="S12" s="540">
        <f t="shared" si="7"/>
        <v>-0.9464285714285714</v>
      </c>
      <c r="T12" s="540">
        <f t="shared" si="8"/>
        <v>30.666666666666668</v>
      </c>
      <c r="U12" s="795">
        <f t="shared" si="10"/>
        <v>6.1400800077115871</v>
      </c>
    </row>
    <row r="13" spans="1:21" s="785" customFormat="1" ht="17.25" customHeight="1" x14ac:dyDescent="0.25">
      <c r="A13" s="793" t="s">
        <v>702</v>
      </c>
      <c r="B13" s="1062">
        <v>1951</v>
      </c>
      <c r="C13" s="1062">
        <v>1011</v>
      </c>
      <c r="D13" s="1062">
        <v>1474</v>
      </c>
      <c r="E13" s="1062">
        <v>1203</v>
      </c>
      <c r="F13" s="1062">
        <v>1522</v>
      </c>
      <c r="G13" s="1062">
        <v>1389</v>
      </c>
      <c r="H13" s="1062">
        <v>1730</v>
      </c>
      <c r="I13" s="1062">
        <v>1793</v>
      </c>
      <c r="J13" s="1062">
        <v>2033</v>
      </c>
      <c r="K13" s="1062">
        <v>2043</v>
      </c>
      <c r="L13" s="540">
        <f t="shared" si="0"/>
        <v>-0.48180420297283444</v>
      </c>
      <c r="M13" s="540">
        <f t="shared" si="1"/>
        <v>0.45796241345202771</v>
      </c>
      <c r="N13" s="540">
        <f t="shared" si="2"/>
        <v>-0.18385345997286295</v>
      </c>
      <c r="O13" s="540">
        <f t="shared" si="3"/>
        <v>0.26517040731504582</v>
      </c>
      <c r="P13" s="540">
        <f t="shared" si="4"/>
        <v>-8.7385019710906731E-2</v>
      </c>
      <c r="Q13" s="540">
        <f t="shared" si="5"/>
        <v>0.24550035997120223</v>
      </c>
      <c r="R13" s="540">
        <f t="shared" si="6"/>
        <v>3.641618497109822E-2</v>
      </c>
      <c r="S13" s="540">
        <f t="shared" si="7"/>
        <v>0.13385387618516442</v>
      </c>
      <c r="T13" s="540">
        <f t="shared" si="8"/>
        <v>4.918839153959631E-3</v>
      </c>
      <c r="U13" s="795">
        <f t="shared" si="10"/>
        <v>4.341993315465488E-2</v>
      </c>
    </row>
    <row r="14" spans="1:21" s="786" customFormat="1" ht="17.25" customHeight="1" x14ac:dyDescent="0.25">
      <c r="A14" s="801" t="s">
        <v>70</v>
      </c>
      <c r="B14" s="802"/>
      <c r="C14" s="802"/>
      <c r="D14" s="802"/>
      <c r="E14" s="802"/>
      <c r="F14" s="802"/>
      <c r="G14" s="802"/>
      <c r="H14" s="802"/>
      <c r="I14" s="802"/>
      <c r="J14" s="802"/>
      <c r="K14" s="802"/>
      <c r="L14" s="798"/>
      <c r="M14" s="798"/>
      <c r="N14" s="798"/>
      <c r="O14" s="798"/>
      <c r="P14" s="798"/>
      <c r="Q14" s="798"/>
      <c r="R14" s="798"/>
      <c r="S14" s="798"/>
      <c r="T14" s="798"/>
      <c r="U14" s="799"/>
    </row>
    <row r="15" spans="1:21" s="785" customFormat="1" ht="17.25" customHeight="1" x14ac:dyDescent="0.25">
      <c r="A15" s="803" t="s">
        <v>294</v>
      </c>
      <c r="B15" s="1062">
        <v>4010</v>
      </c>
      <c r="C15" s="1062">
        <v>4190</v>
      </c>
      <c r="D15" s="1062">
        <v>4560</v>
      </c>
      <c r="E15" s="1062">
        <v>4447</v>
      </c>
      <c r="F15" s="1062">
        <v>4425</v>
      </c>
      <c r="G15" s="1062">
        <v>3584</v>
      </c>
      <c r="H15" s="1062">
        <v>3894</v>
      </c>
      <c r="I15" s="1062">
        <v>4369</v>
      </c>
      <c r="J15" s="1062">
        <v>5123</v>
      </c>
      <c r="K15" s="1062">
        <v>5925</v>
      </c>
      <c r="L15" s="540">
        <f t="shared" si="0"/>
        <v>4.488778054862852E-2</v>
      </c>
      <c r="M15" s="540">
        <f t="shared" ref="M15:M21" si="11">IF(AND(ISNUMBER(C15),ISNUMBER(D15),C15&gt;0),D15/C15-1,"")</f>
        <v>8.8305489260143144E-2</v>
      </c>
      <c r="N15" s="540">
        <f t="shared" ref="N15:N21" si="12">IF(AND(ISNUMBER(D15),ISNUMBER(E15),D15&gt;0),E15/D15-1,"")</f>
        <v>-2.4780701754385959E-2</v>
      </c>
      <c r="O15" s="540">
        <f t="shared" ref="O15:O21" si="13">IF(AND(ISNUMBER(E15),ISNUMBER(F15),E15&gt;0),F15/E15-1,"")</f>
        <v>-4.947155385653268E-3</v>
      </c>
      <c r="P15" s="540">
        <f t="shared" ref="P15:P21" si="14">IF(AND(ISNUMBER(F15),ISNUMBER(G15),F15&gt;0),G15/F15-1,"")</f>
        <v>-0.19005649717514128</v>
      </c>
      <c r="Q15" s="540">
        <f t="shared" ref="Q15:Q21" si="15">IF(AND(ISNUMBER(G15),ISNUMBER(H15),G15&gt;0),H15/G15-1,"")</f>
        <v>8.6495535714285809E-2</v>
      </c>
      <c r="R15" s="540">
        <f t="shared" ref="R15:R21" si="16">IF(AND(ISNUMBER(H15),ISNUMBER(I15),H15&gt;0),I15/H15-1,"")</f>
        <v>0.12198253723677444</v>
      </c>
      <c r="S15" s="540">
        <f t="shared" ref="S15:S21" si="17">IF(AND(ISNUMBER(I15),ISNUMBER(J15),I15&gt;0),J15/I15-1,"")</f>
        <v>0.17257953765163658</v>
      </c>
      <c r="T15" s="540">
        <f t="shared" ref="T15:T21" si="18">IF(AND(ISNUMBER(J15),ISNUMBER(K15),J15&gt;0),K15/J15-1,"")</f>
        <v>0.15654889713058751</v>
      </c>
      <c r="U15" s="795">
        <f>IF(ISERROR(AVERAGE(L15:S15)),"",AVERAGE(L15:S15))</f>
        <v>3.6808315762035998E-2</v>
      </c>
    </row>
    <row r="16" spans="1:21" s="785" customFormat="1" ht="17.25" customHeight="1" x14ac:dyDescent="0.25">
      <c r="A16" s="803" t="s">
        <v>587</v>
      </c>
      <c r="B16" s="1062">
        <v>14971</v>
      </c>
      <c r="C16" s="1062">
        <v>14650</v>
      </c>
      <c r="D16" s="1062">
        <v>15593</v>
      </c>
      <c r="E16" s="1062">
        <v>14611</v>
      </c>
      <c r="F16" s="1062">
        <v>14718</v>
      </c>
      <c r="G16" s="1062">
        <v>12505</v>
      </c>
      <c r="H16" s="1062">
        <v>14299</v>
      </c>
      <c r="I16" s="1062">
        <v>15778</v>
      </c>
      <c r="J16" s="1062">
        <v>18859</v>
      </c>
      <c r="K16" s="1062">
        <v>21623</v>
      </c>
      <c r="L16" s="540">
        <f t="shared" si="0"/>
        <v>-2.1441453476721661E-2</v>
      </c>
      <c r="M16" s="540">
        <f t="shared" si="11"/>
        <v>6.4368600682593868E-2</v>
      </c>
      <c r="N16" s="540">
        <f t="shared" si="12"/>
        <v>-6.2976976848585942E-2</v>
      </c>
      <c r="O16" s="540">
        <f t="shared" si="13"/>
        <v>7.3232496064608021E-3</v>
      </c>
      <c r="P16" s="540">
        <f t="shared" si="14"/>
        <v>-0.15036010327490146</v>
      </c>
      <c r="Q16" s="540">
        <f t="shared" si="15"/>
        <v>0.14346261495401835</v>
      </c>
      <c r="R16" s="540">
        <f t="shared" si="16"/>
        <v>0.1034338065598992</v>
      </c>
      <c r="S16" s="540">
        <f t="shared" si="17"/>
        <v>0.19527189757890739</v>
      </c>
      <c r="T16" s="540">
        <f t="shared" si="18"/>
        <v>0.14656132350601836</v>
      </c>
      <c r="U16" s="795">
        <f>IF(ISERROR(AVERAGE(L16:S16)),"",AVERAGE(L16:S16))</f>
        <v>3.488520447270882E-2</v>
      </c>
    </row>
    <row r="17" spans="1:21" s="785" customFormat="1" ht="17.25" customHeight="1" x14ac:dyDescent="0.25">
      <c r="A17" s="803" t="s">
        <v>588</v>
      </c>
      <c r="B17" s="1062">
        <v>43</v>
      </c>
      <c r="C17" s="1062">
        <v>43</v>
      </c>
      <c r="D17" s="1062">
        <v>43</v>
      </c>
      <c r="E17" s="1062">
        <v>43</v>
      </c>
      <c r="F17" s="1062">
        <v>43</v>
      </c>
      <c r="G17" s="1062">
        <v>43</v>
      </c>
      <c r="H17" s="1062">
        <v>43</v>
      </c>
      <c r="I17" s="1062">
        <v>43</v>
      </c>
      <c r="J17" s="1062">
        <v>50</v>
      </c>
      <c r="K17" s="1062">
        <v>50</v>
      </c>
      <c r="L17" s="540">
        <f t="shared" si="0"/>
        <v>0</v>
      </c>
      <c r="M17" s="540">
        <f t="shared" si="11"/>
        <v>0</v>
      </c>
      <c r="N17" s="540">
        <f t="shared" si="12"/>
        <v>0</v>
      </c>
      <c r="O17" s="540">
        <f t="shared" si="13"/>
        <v>0</v>
      </c>
      <c r="P17" s="540">
        <f t="shared" si="14"/>
        <v>0</v>
      </c>
      <c r="Q17" s="540">
        <f t="shared" si="15"/>
        <v>0</v>
      </c>
      <c r="R17" s="540">
        <f t="shared" si="16"/>
        <v>0</v>
      </c>
      <c r="S17" s="540">
        <f t="shared" si="17"/>
        <v>0.16279069767441867</v>
      </c>
      <c r="T17" s="540">
        <f t="shared" si="18"/>
        <v>0</v>
      </c>
      <c r="U17" s="795">
        <f>IF(ISERROR(AVERAGE(L17:S17)),"",AVERAGE(L17:S17))</f>
        <v>2.0348837209302334E-2</v>
      </c>
    </row>
    <row r="18" spans="1:21" s="785" customFormat="1" ht="17.25" customHeight="1" x14ac:dyDescent="0.25">
      <c r="A18" s="803" t="s">
        <v>589</v>
      </c>
      <c r="B18" s="1062">
        <v>15635</v>
      </c>
      <c r="C18" s="1062">
        <v>15511</v>
      </c>
      <c r="D18" s="1062">
        <v>15432</v>
      </c>
      <c r="E18" s="1062">
        <v>15432</v>
      </c>
      <c r="F18" s="1062">
        <v>15446</v>
      </c>
      <c r="G18" s="1062">
        <v>14801</v>
      </c>
      <c r="H18" s="1062">
        <v>18340</v>
      </c>
      <c r="I18" s="1062">
        <v>15738</v>
      </c>
      <c r="J18" s="1062">
        <v>18250</v>
      </c>
      <c r="K18" s="1062">
        <v>18250</v>
      </c>
      <c r="L18" s="540">
        <f t="shared" si="0"/>
        <v>-7.9309242085066067E-3</v>
      </c>
      <c r="M18" s="540">
        <f t="shared" si="11"/>
        <v>-5.0931596931209633E-3</v>
      </c>
      <c r="N18" s="540">
        <f t="shared" si="12"/>
        <v>0</v>
      </c>
      <c r="O18" s="540">
        <f t="shared" si="13"/>
        <v>9.0720580611725055E-4</v>
      </c>
      <c r="P18" s="540">
        <f t="shared" si="14"/>
        <v>-4.1758384047649866E-2</v>
      </c>
      <c r="Q18" s="540">
        <f t="shared" si="15"/>
        <v>0.23910546584690229</v>
      </c>
      <c r="R18" s="540">
        <f t="shared" si="16"/>
        <v>-0.14187568157033803</v>
      </c>
      <c r="S18" s="540">
        <f t="shared" si="17"/>
        <v>0.15961367391028092</v>
      </c>
      <c r="T18" s="540">
        <f t="shared" si="18"/>
        <v>0</v>
      </c>
      <c r="U18" s="795">
        <f>IF(ISERROR(AVERAGE(L18:S18)),"",AVERAGE(L18:S18))</f>
        <v>2.5371024505460624E-2</v>
      </c>
    </row>
    <row r="19" spans="1:21" s="785" customFormat="1" ht="17.25" customHeight="1" x14ac:dyDescent="0.25">
      <c r="A19" s="803" t="s">
        <v>590</v>
      </c>
      <c r="B19" s="1062">
        <v>97.51</v>
      </c>
      <c r="C19" s="1062">
        <v>97.01</v>
      </c>
      <c r="D19" s="1062">
        <v>103.14</v>
      </c>
      <c r="E19" s="1062">
        <v>95.9</v>
      </c>
      <c r="F19" s="1062">
        <v>94.09</v>
      </c>
      <c r="G19" s="1062">
        <v>82.12</v>
      </c>
      <c r="H19" s="1062">
        <v>91.4</v>
      </c>
      <c r="I19" s="1062">
        <v>97.01</v>
      </c>
      <c r="J19" s="1062">
        <v>99</v>
      </c>
      <c r="K19" s="1062">
        <v>119</v>
      </c>
      <c r="L19" s="540">
        <f t="shared" si="0"/>
        <v>-5.1276792123884363E-3</v>
      </c>
      <c r="M19" s="540">
        <f t="shared" si="11"/>
        <v>6.3189361921451415E-2</v>
      </c>
      <c r="N19" s="540">
        <f t="shared" si="12"/>
        <v>-7.0195850300562301E-2</v>
      </c>
      <c r="O19" s="540">
        <f t="shared" si="13"/>
        <v>-1.8873826903023971E-2</v>
      </c>
      <c r="P19" s="540">
        <f t="shared" si="14"/>
        <v>-0.12721862046976296</v>
      </c>
      <c r="Q19" s="540">
        <f t="shared" si="15"/>
        <v>0.11300535801266443</v>
      </c>
      <c r="R19" s="540">
        <f t="shared" si="16"/>
        <v>6.1378555798687007E-2</v>
      </c>
      <c r="S19" s="540">
        <f t="shared" si="17"/>
        <v>2.0513349139263948E-2</v>
      </c>
      <c r="T19" s="540">
        <f t="shared" si="18"/>
        <v>0.20202020202020199</v>
      </c>
      <c r="U19" s="795">
        <f>IF(ISERROR(AVERAGE(L19:S19)),"",AVERAGE(L19:S19))</f>
        <v>4.5838309982911413E-3</v>
      </c>
    </row>
    <row r="20" spans="1:21" s="786" customFormat="1" ht="17.25" customHeight="1" x14ac:dyDescent="0.25">
      <c r="A20" s="804" t="s">
        <v>741</v>
      </c>
      <c r="B20" s="805">
        <f t="shared" ref="B20:I20" si="19">IF(ISERROR(B16/B15),"",B16/B15)</f>
        <v>3.7334164588528678</v>
      </c>
      <c r="C20" s="805">
        <f t="shared" si="19"/>
        <v>3.496420047732697</v>
      </c>
      <c r="D20" s="805">
        <f t="shared" si="19"/>
        <v>3.4195175438596492</v>
      </c>
      <c r="E20" s="805">
        <f t="shared" si="19"/>
        <v>3.2855857881718014</v>
      </c>
      <c r="F20" s="805">
        <f t="shared" si="19"/>
        <v>3.3261016949152542</v>
      </c>
      <c r="G20" s="805">
        <f t="shared" si="19"/>
        <v>3.4891183035714284</v>
      </c>
      <c r="H20" s="805">
        <f t="shared" si="19"/>
        <v>3.6720595788392401</v>
      </c>
      <c r="I20" s="805">
        <f t="shared" si="19"/>
        <v>3.6113527122911422</v>
      </c>
      <c r="J20" s="805">
        <f>IF(ISERROR(J16/J15),"",J16/J15)</f>
        <v>3.6812414600819832</v>
      </c>
      <c r="K20" s="805">
        <f>IF(ISERROR(K16/K15),"",K16/K15)</f>
        <v>3.6494514767932489</v>
      </c>
      <c r="L20" s="806">
        <f t="shared" si="0"/>
        <v>-6.3479768124499736E-2</v>
      </c>
      <c r="M20" s="806">
        <f t="shared" si="11"/>
        <v>-2.1994641039458696E-2</v>
      </c>
      <c r="N20" s="806">
        <f t="shared" si="12"/>
        <v>-3.9166857303699509E-2</v>
      </c>
      <c r="O20" s="806">
        <f t="shared" si="13"/>
        <v>1.2331410395464815E-2</v>
      </c>
      <c r="P20" s="806">
        <f t="shared" si="14"/>
        <v>4.9011312223370851E-2</v>
      </c>
      <c r="Q20" s="806">
        <f t="shared" si="15"/>
        <v>5.243194966492104E-2</v>
      </c>
      <c r="R20" s="806">
        <f t="shared" si="16"/>
        <v>-1.6532102828050399E-2</v>
      </c>
      <c r="S20" s="806">
        <f t="shared" si="17"/>
        <v>1.9352512301824332E-2</v>
      </c>
      <c r="T20" s="806">
        <f t="shared" si="18"/>
        <v>-8.6356691440789835E-3</v>
      </c>
      <c r="U20" s="799">
        <f>IF(ISERROR(AVERAGE(L20:T20)),"",AVERAGE(L20:T20))</f>
        <v>-1.8535393171340317E-3</v>
      </c>
    </row>
    <row r="21" spans="1:21" ht="17.25" customHeight="1" thickBot="1" x14ac:dyDescent="0.3">
      <c r="A21" s="807" t="s">
        <v>253</v>
      </c>
      <c r="B21" s="808">
        <f t="shared" ref="B21:I21" si="20">IF(ISERROR(B15/B17),"",B15/B17)</f>
        <v>93.255813953488371</v>
      </c>
      <c r="C21" s="808">
        <f t="shared" si="20"/>
        <v>97.441860465116278</v>
      </c>
      <c r="D21" s="808">
        <f t="shared" si="20"/>
        <v>106.04651162790698</v>
      </c>
      <c r="E21" s="808">
        <f t="shared" si="20"/>
        <v>103.41860465116279</v>
      </c>
      <c r="F21" s="808">
        <f t="shared" si="20"/>
        <v>102.90697674418605</v>
      </c>
      <c r="G21" s="808">
        <f t="shared" si="20"/>
        <v>83.348837209302332</v>
      </c>
      <c r="H21" s="808">
        <f t="shared" si="20"/>
        <v>90.558139534883722</v>
      </c>
      <c r="I21" s="808">
        <f t="shared" si="20"/>
        <v>101.6046511627907</v>
      </c>
      <c r="J21" s="808">
        <f>IF(ISERROR(J15/J17),"",J15/J17)</f>
        <v>102.46</v>
      </c>
      <c r="K21" s="808">
        <f>IF(ISERROR(K15/K17),"",K15/K17)</f>
        <v>118.5</v>
      </c>
      <c r="L21" s="809">
        <f t="shared" si="0"/>
        <v>4.488778054862852E-2</v>
      </c>
      <c r="M21" s="809">
        <f t="shared" si="11"/>
        <v>8.8305489260143144E-2</v>
      </c>
      <c r="N21" s="809">
        <f t="shared" si="12"/>
        <v>-2.4780701754385959E-2</v>
      </c>
      <c r="O21" s="809">
        <f t="shared" si="13"/>
        <v>-4.947155385653268E-3</v>
      </c>
      <c r="P21" s="809">
        <f t="shared" si="14"/>
        <v>-0.19005649717514128</v>
      </c>
      <c r="Q21" s="809">
        <f t="shared" si="15"/>
        <v>8.6495535714285587E-2</v>
      </c>
      <c r="R21" s="809">
        <f t="shared" si="16"/>
        <v>0.12198253723677466</v>
      </c>
      <c r="S21" s="809">
        <f t="shared" si="17"/>
        <v>8.4184023804072527E-3</v>
      </c>
      <c r="T21" s="809">
        <f t="shared" si="18"/>
        <v>0.15654889713058773</v>
      </c>
      <c r="U21" s="810">
        <f>IF(ISERROR(AVERAGE(L21:T21)),"",AVERAGE(L21:T21))</f>
        <v>3.1872698661738488E-2</v>
      </c>
    </row>
  </sheetData>
  <sheetProtection password="E91F" sheet="1"/>
  <protectedRanges>
    <protectedRange sqref="K5 B7:K13 B15:K19 B3:J5 K3" name="Rango1"/>
  </protectedRanges>
  <phoneticPr fontId="60" type="noConversion"/>
  <pageMargins left="0.70866141732283472" right="0.70866141732283472" top="0.74803149606299213" bottom="0.74803149606299213" header="0.31496062992125984" footer="0.31496062992125984"/>
  <pageSetup scale="83" orientation="landscape" horizontalDpi="4294967293" r:id="rId1"/>
  <colBreaks count="1" manualBreakCount="1">
    <brk id="1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3"/>
  <sheetViews>
    <sheetView view="pageBreakPreview" zoomScale="82" zoomScaleNormal="100" zoomScaleSheetLayoutView="82" workbookViewId="0">
      <selection activeCell="D1" sqref="D1"/>
    </sheetView>
  </sheetViews>
  <sheetFormatPr baseColWidth="10" defaultRowHeight="12.75" x14ac:dyDescent="0.25"/>
  <cols>
    <col min="1" max="1" width="2.42578125" style="602" customWidth="1"/>
    <col min="2" max="2" width="72" style="602" customWidth="1"/>
    <col min="3" max="3" width="12.140625" style="602" customWidth="1"/>
    <col min="4" max="4" width="16.140625" style="602" customWidth="1"/>
    <col min="5" max="5" width="12.140625" style="602" customWidth="1"/>
    <col min="6" max="6" width="16.140625" style="602" customWidth="1"/>
    <col min="7" max="16384" width="11.42578125" style="602"/>
  </cols>
  <sheetData>
    <row r="1" spans="2:6" ht="15.75" x14ac:dyDescent="0.25">
      <c r="B1" s="561" t="s">
        <v>309</v>
      </c>
    </row>
    <row r="2" spans="2:6" ht="13.5" thickBot="1" x14ac:dyDescent="0.3"/>
    <row r="3" spans="2:6" ht="25.5" x14ac:dyDescent="0.25">
      <c r="B3" s="846" t="s">
        <v>703</v>
      </c>
      <c r="C3" s="867" t="s">
        <v>238</v>
      </c>
      <c r="D3" s="844" t="s">
        <v>310</v>
      </c>
      <c r="E3" s="868" t="s">
        <v>311</v>
      </c>
      <c r="F3" s="845" t="s">
        <v>312</v>
      </c>
    </row>
    <row r="4" spans="2:6" x14ac:dyDescent="0.2">
      <c r="B4" s="1137" t="s">
        <v>61</v>
      </c>
      <c r="C4" s="1138"/>
      <c r="D4" s="1138"/>
      <c r="E4" s="1138"/>
      <c r="F4" s="1139"/>
    </row>
    <row r="5" spans="2:6" x14ac:dyDescent="0.25">
      <c r="B5" s="848" t="s">
        <v>242</v>
      </c>
      <c r="C5" s="794">
        <v>19963</v>
      </c>
      <c r="D5" s="847">
        <f>IF(ISERROR(C5/$C$8),"",C5/$C$8)</f>
        <v>0.2744319041007382</v>
      </c>
      <c r="E5" s="794">
        <v>34282</v>
      </c>
      <c r="F5" s="620">
        <f>IF(ISERROR(E5/$E$8),"",E5/$E$8)</f>
        <v>0.5044363679168935</v>
      </c>
    </row>
    <row r="6" spans="2:6" x14ac:dyDescent="0.25">
      <c r="B6" s="848" t="s">
        <v>243</v>
      </c>
      <c r="C6" s="794">
        <v>32189</v>
      </c>
      <c r="D6" s="847">
        <f>IF(ISERROR(C6/$C$8),"",C6/$C$8)</f>
        <v>0.44250305871355322</v>
      </c>
      <c r="E6" s="794">
        <v>20001</v>
      </c>
      <c r="F6" s="620">
        <f>IF(ISERROR(E6/$E$8),"",E6/$E$8)</f>
        <v>0.29430114330277657</v>
      </c>
    </row>
    <row r="7" spans="2:6" x14ac:dyDescent="0.25">
      <c r="B7" s="848" t="s">
        <v>244</v>
      </c>
      <c r="C7" s="761">
        <f>'4_Comportamiento_Produccion'!K5</f>
        <v>20591</v>
      </c>
      <c r="D7" s="847">
        <f>IF(ISERROR(C7/$C$8),"",C7/$C$8)</f>
        <v>0.28306503718570858</v>
      </c>
      <c r="E7" s="761">
        <f>'4_Comportamiento_Produccion'!J5</f>
        <v>13678</v>
      </c>
      <c r="F7" s="620">
        <f>IF(ISERROR(E7/$E$8),"",E7/$E$8)</f>
        <v>0.2012624887803299</v>
      </c>
    </row>
    <row r="8" spans="2:6" x14ac:dyDescent="0.2">
      <c r="B8" s="854" t="s">
        <v>594</v>
      </c>
      <c r="C8" s="852">
        <f>SUM(C5:C7)</f>
        <v>72743</v>
      </c>
      <c r="D8" s="853">
        <f>SUM(D5:D7)</f>
        <v>1</v>
      </c>
      <c r="E8" s="852">
        <f>SUM(E5:E7)</f>
        <v>67961</v>
      </c>
      <c r="F8" s="855">
        <f>SUM(F5:F7)</f>
        <v>1</v>
      </c>
    </row>
    <row r="9" spans="2:6" x14ac:dyDescent="0.2">
      <c r="B9" s="1137" t="s">
        <v>593</v>
      </c>
      <c r="C9" s="1138"/>
      <c r="D9" s="1138"/>
      <c r="E9" s="1138"/>
      <c r="F9" s="1139"/>
    </row>
    <row r="10" spans="2:6" ht="15" x14ac:dyDescent="0.25">
      <c r="B10" s="848" t="s">
        <v>41</v>
      </c>
      <c r="C10" s="733">
        <v>1341</v>
      </c>
      <c r="D10" s="847">
        <f t="shared" ref="D10:D17" si="0">IF(ISERROR(C10/$C$18),"",C10/$C$18)</f>
        <v>0.22632911392405064</v>
      </c>
      <c r="E10" s="1064">
        <v>875</v>
      </c>
      <c r="F10" s="620">
        <f>IF(ISERROR(E10/$E$18),"",E10/$E$18)</f>
        <v>0.17079836033574078</v>
      </c>
    </row>
    <row r="11" spans="2:6" x14ac:dyDescent="0.25">
      <c r="B11" s="848" t="s">
        <v>42</v>
      </c>
      <c r="C11" s="733">
        <v>1026</v>
      </c>
      <c r="D11" s="847">
        <f t="shared" si="0"/>
        <v>0.17316455696202532</v>
      </c>
      <c r="E11" s="794">
        <v>907</v>
      </c>
      <c r="F11" s="620">
        <f t="shared" ref="F11:F17" si="1">IF(ISERROR(E11/$E$18),"",E11/$E$18)</f>
        <v>0.17704470037087644</v>
      </c>
    </row>
    <row r="12" spans="2:6" x14ac:dyDescent="0.25">
      <c r="B12" s="848" t="s">
        <v>43</v>
      </c>
      <c r="C12" s="733">
        <v>423</v>
      </c>
      <c r="D12" s="847">
        <f t="shared" si="0"/>
        <v>7.1392405063291142E-2</v>
      </c>
      <c r="E12" s="794">
        <v>501</v>
      </c>
      <c r="F12" s="620">
        <f t="shared" si="1"/>
        <v>9.7794261175092725E-2</v>
      </c>
    </row>
    <row r="13" spans="2:6" x14ac:dyDescent="0.25">
      <c r="B13" s="848" t="s">
        <v>44</v>
      </c>
      <c r="C13" s="733">
        <v>1452</v>
      </c>
      <c r="D13" s="847">
        <f t="shared" si="0"/>
        <v>0.2450632911392405</v>
      </c>
      <c r="E13" s="794">
        <v>1537</v>
      </c>
      <c r="F13" s="620">
        <f t="shared" si="1"/>
        <v>0.30001951981260983</v>
      </c>
    </row>
    <row r="14" spans="2:6" x14ac:dyDescent="0.25">
      <c r="B14" s="848" t="s">
        <v>45</v>
      </c>
      <c r="C14" s="733">
        <v>1330</v>
      </c>
      <c r="D14" s="847">
        <f t="shared" si="0"/>
        <v>0.22447257383966246</v>
      </c>
      <c r="E14" s="794">
        <v>1017</v>
      </c>
      <c r="F14" s="620">
        <f t="shared" si="1"/>
        <v>0.19851649424165527</v>
      </c>
    </row>
    <row r="15" spans="2:6" x14ac:dyDescent="0.25">
      <c r="B15" s="848" t="s">
        <v>46</v>
      </c>
      <c r="C15" s="733">
        <v>353</v>
      </c>
      <c r="D15" s="847">
        <f t="shared" si="0"/>
        <v>5.9578059071729958E-2</v>
      </c>
      <c r="E15" s="794">
        <v>286</v>
      </c>
      <c r="F15" s="620">
        <f t="shared" si="1"/>
        <v>5.5826664064024985E-2</v>
      </c>
    </row>
    <row r="16" spans="2:6" x14ac:dyDescent="0.25">
      <c r="B16" s="848" t="s">
        <v>47</v>
      </c>
      <c r="C16" s="733">
        <v>0</v>
      </c>
      <c r="D16" s="847">
        <f t="shared" si="0"/>
        <v>0</v>
      </c>
      <c r="E16" s="794">
        <v>0</v>
      </c>
      <c r="F16" s="620">
        <f t="shared" si="1"/>
        <v>0</v>
      </c>
    </row>
    <row r="17" spans="2:6" x14ac:dyDescent="0.25">
      <c r="B17" s="848" t="s">
        <v>48</v>
      </c>
      <c r="C17" s="733">
        <v>0</v>
      </c>
      <c r="D17" s="847">
        <f t="shared" si="0"/>
        <v>0</v>
      </c>
      <c r="E17" s="794">
        <v>0</v>
      </c>
      <c r="F17" s="620">
        <f t="shared" si="1"/>
        <v>0</v>
      </c>
    </row>
    <row r="18" spans="2:6" x14ac:dyDescent="0.2">
      <c r="B18" s="854" t="s">
        <v>49</v>
      </c>
      <c r="C18" s="852">
        <f>SUM(C10:C17)</f>
        <v>5925</v>
      </c>
      <c r="D18" s="853">
        <f>SUM(D10:D17)</f>
        <v>1</v>
      </c>
      <c r="E18" s="852">
        <f>SUM(E10:E17)</f>
        <v>5123</v>
      </c>
      <c r="F18" s="855">
        <f>SUM(F10:F17)</f>
        <v>1</v>
      </c>
    </row>
    <row r="19" spans="2:6" x14ac:dyDescent="0.25">
      <c r="B19" s="1140" t="s">
        <v>370</v>
      </c>
      <c r="C19" s="1141"/>
      <c r="D19" s="1141"/>
      <c r="E19" s="1141"/>
      <c r="F19" s="1142"/>
    </row>
    <row r="20" spans="2:6" x14ac:dyDescent="0.25">
      <c r="B20" s="848" t="s">
        <v>371</v>
      </c>
      <c r="C20" s="878">
        <f>'4_Comportamiento_Produccion'!K8</f>
        <v>874</v>
      </c>
      <c r="D20" s="847">
        <f>IF(ISERROR(C20/$C$22),"",C20/$C$22)</f>
        <v>0.79671832269826803</v>
      </c>
      <c r="E20" s="878">
        <f>'4_Comportamiento_Produccion'!J8</f>
        <v>812</v>
      </c>
      <c r="F20" s="620">
        <f>IF(ISERROR(E20/$E$22),"",E20/$E$22)</f>
        <v>0.7567567567567568</v>
      </c>
    </row>
    <row r="21" spans="2:6" x14ac:dyDescent="0.25">
      <c r="B21" s="848" t="s">
        <v>50</v>
      </c>
      <c r="C21" s="878">
        <f>'4_Comportamiento_Produccion'!K9</f>
        <v>223</v>
      </c>
      <c r="D21" s="847">
        <f>IF(ISERROR(C21/$C$22),"",C21/$C$22)</f>
        <v>0.20328167730173199</v>
      </c>
      <c r="E21" s="878">
        <f>'4_Comportamiento_Produccion'!J9</f>
        <v>261</v>
      </c>
      <c r="F21" s="620">
        <f>IF(ISERROR(E21/$E$22),"",E21/$E$22)</f>
        <v>0.24324324324324326</v>
      </c>
    </row>
    <row r="22" spans="2:6" x14ac:dyDescent="0.2">
      <c r="B22" s="854" t="s">
        <v>236</v>
      </c>
      <c r="C22" s="852">
        <f>SUM(C20:C21)</f>
        <v>1097</v>
      </c>
      <c r="D22" s="853">
        <f>SUM(D20:D21)</f>
        <v>1</v>
      </c>
      <c r="E22" s="852">
        <f>SUM(E20:E21)</f>
        <v>1073</v>
      </c>
      <c r="F22" s="855">
        <f>SUM(F20:F21)</f>
        <v>1</v>
      </c>
    </row>
    <row r="23" spans="2:6" x14ac:dyDescent="0.25">
      <c r="B23" s="1140" t="s">
        <v>62</v>
      </c>
      <c r="C23" s="1141"/>
      <c r="D23" s="1141"/>
      <c r="E23" s="1141"/>
      <c r="F23" s="1142"/>
    </row>
    <row r="24" spans="2:6" x14ac:dyDescent="0.25">
      <c r="B24" s="848" t="s">
        <v>53</v>
      </c>
      <c r="C24" s="794">
        <v>815</v>
      </c>
      <c r="D24" s="847">
        <f>IF(ISERROR(C24/$C$28),"",C24/$C$28)</f>
        <v>0.63721657544957</v>
      </c>
      <c r="E24" s="794">
        <v>299</v>
      </c>
      <c r="F24" s="620">
        <f>IF(ISERROR(E24/$E$28),"",E24/$E$28)</f>
        <v>0.31876332622601278</v>
      </c>
    </row>
    <row r="25" spans="2:6" x14ac:dyDescent="0.25">
      <c r="B25" s="848" t="s">
        <v>54</v>
      </c>
      <c r="C25" s="794">
        <v>51</v>
      </c>
      <c r="D25" s="847">
        <f>IF(ISERROR(C25/$C$28),"",C25/$C$28)</f>
        <v>3.98749022673964E-2</v>
      </c>
      <c r="E25" s="794">
        <v>3</v>
      </c>
      <c r="F25" s="620">
        <f>IF(ISERROR(E25/$E$28),"",E25/$E$28)</f>
        <v>3.1982942430703624E-3</v>
      </c>
    </row>
    <row r="26" spans="2:6" x14ac:dyDescent="0.25">
      <c r="B26" s="848" t="s">
        <v>55</v>
      </c>
      <c r="C26" s="794">
        <v>288</v>
      </c>
      <c r="D26" s="847">
        <f>IF(ISERROR(C26/$C$28),"",C26/$C$28)</f>
        <v>0.2251759186864738</v>
      </c>
      <c r="E26" s="794">
        <v>599</v>
      </c>
      <c r="F26" s="620">
        <f>IF(ISERROR(E26/$E$28),"",E26/$E$28)</f>
        <v>0.63859275053304909</v>
      </c>
    </row>
    <row r="27" spans="2:6" x14ac:dyDescent="0.25">
      <c r="B27" s="848" t="s">
        <v>56</v>
      </c>
      <c r="C27" s="794">
        <v>125</v>
      </c>
      <c r="D27" s="847">
        <f>IF(ISERROR(C27/$C$28),"",C27/$C$28)</f>
        <v>9.7732603596559817E-2</v>
      </c>
      <c r="E27" s="794">
        <v>37</v>
      </c>
      <c r="F27" s="620">
        <f>IF(ISERROR(E27/$E$28),"",E27/$E$28)</f>
        <v>3.9445628997867806E-2</v>
      </c>
    </row>
    <row r="28" spans="2:6" x14ac:dyDescent="0.2">
      <c r="B28" s="854" t="s">
        <v>57</v>
      </c>
      <c r="C28" s="852">
        <f>SUM(C24:C27)</f>
        <v>1279</v>
      </c>
      <c r="D28" s="853">
        <f>SUM(D24:D27)</f>
        <v>1</v>
      </c>
      <c r="E28" s="852">
        <f>SUM(E24:E27)</f>
        <v>938</v>
      </c>
      <c r="F28" s="855">
        <f>SUM(F24:F27)</f>
        <v>1</v>
      </c>
    </row>
    <row r="29" spans="2:6" x14ac:dyDescent="0.25">
      <c r="B29" s="1140" t="s">
        <v>58</v>
      </c>
      <c r="C29" s="1141"/>
      <c r="D29" s="1141"/>
      <c r="E29" s="1141"/>
      <c r="F29" s="1142"/>
    </row>
    <row r="30" spans="2:6" ht="13.5" thickBot="1" x14ac:dyDescent="0.3">
      <c r="B30" s="849" t="s">
        <v>595</v>
      </c>
      <c r="C30" s="879">
        <f>'4_Comportamiento_Produccion'!K13</f>
        <v>2043</v>
      </c>
      <c r="D30" s="850"/>
      <c r="E30" s="879">
        <f>'4_Comportamiento_Produccion'!J13</f>
        <v>2033</v>
      </c>
      <c r="F30" s="851"/>
    </row>
    <row r="32" spans="2:6" x14ac:dyDescent="0.25">
      <c r="B32" s="1143" t="s">
        <v>649</v>
      </c>
      <c r="C32" s="1143"/>
      <c r="D32" s="1143"/>
    </row>
    <row r="33" spans="2:4" x14ac:dyDescent="0.25">
      <c r="B33" s="1136" t="s">
        <v>650</v>
      </c>
      <c r="C33" s="1136"/>
      <c r="D33" s="1136"/>
    </row>
  </sheetData>
  <sheetProtection password="EADF" sheet="1" objects="1" scenarios="1"/>
  <mergeCells count="7">
    <mergeCell ref="B33:D33"/>
    <mergeCell ref="B4:F4"/>
    <mergeCell ref="B19:F19"/>
    <mergeCell ref="B23:F23"/>
    <mergeCell ref="B29:F29"/>
    <mergeCell ref="B9:F9"/>
    <mergeCell ref="B32:D32"/>
  </mergeCells>
  <phoneticPr fontId="60" type="noConversion"/>
  <pageMargins left="0.70866141732283472" right="0.70866141732283472" top="0.74803149606299213" bottom="0.74803149606299213" header="0.31496062992125984" footer="0.31496062992125984"/>
  <pageSetup scale="93" orientation="landscape" horizontalDpi="4294967293" verticalDpi="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70"/>
  <sheetViews>
    <sheetView view="pageBreakPreview" zoomScale="80" zoomScaleNormal="100" zoomScaleSheetLayoutView="80" workbookViewId="0">
      <selection activeCell="D26" sqref="D26"/>
    </sheetView>
  </sheetViews>
  <sheetFormatPr baseColWidth="10" defaultRowHeight="15" x14ac:dyDescent="0.25"/>
  <cols>
    <col min="1" max="1" width="2.7109375" style="100" customWidth="1"/>
    <col min="2" max="2" width="29.7109375" style="100" customWidth="1"/>
    <col min="3" max="3" width="20.140625" style="100" customWidth="1"/>
    <col min="4" max="4" width="14.42578125" style="100" customWidth="1"/>
    <col min="5" max="5" width="14.5703125" style="100" customWidth="1"/>
    <col min="6" max="6" width="15.140625" style="100" customWidth="1"/>
    <col min="7" max="7" width="16.42578125" style="100" customWidth="1"/>
    <col min="8" max="16384" width="11.42578125" style="100"/>
  </cols>
  <sheetData>
    <row r="1" spans="2:7" ht="15.75" x14ac:dyDescent="0.25">
      <c r="B1" s="101" t="s">
        <v>313</v>
      </c>
    </row>
    <row r="2" spans="2:7" ht="15.75" thickBot="1" x14ac:dyDescent="0.3"/>
    <row r="3" spans="2:7" ht="25.5" x14ac:dyDescent="0.25">
      <c r="B3" s="135" t="s">
        <v>596</v>
      </c>
      <c r="C3" s="324" t="s">
        <v>66</v>
      </c>
      <c r="D3" s="324" t="s">
        <v>67</v>
      </c>
      <c r="E3" s="324" t="s">
        <v>82</v>
      </c>
      <c r="F3" s="1144" t="s">
        <v>83</v>
      </c>
      <c r="G3" s="1145"/>
    </row>
    <row r="4" spans="2:7" ht="25.5" x14ac:dyDescent="0.25">
      <c r="B4" s="136" t="s">
        <v>68</v>
      </c>
      <c r="C4" s="125" t="s">
        <v>69</v>
      </c>
      <c r="D4" s="125" t="str">
        <f>"Cantidad "&amp;C4&amp;" 2010"</f>
        <v>Cantidad Estudios 2010</v>
      </c>
      <c r="E4" s="125" t="str">
        <f>"Porcentaje "&amp;C4&amp;" 2010"</f>
        <v>Porcentaje Estudios 2010</v>
      </c>
      <c r="F4" s="125" t="s">
        <v>314</v>
      </c>
      <c r="G4" s="137" t="str">
        <f>C4&amp;" por Servicio Final"</f>
        <v>Estudios por Servicio Final</v>
      </c>
    </row>
    <row r="5" spans="2:7" x14ac:dyDescent="0.25">
      <c r="B5" s="328" t="s">
        <v>70</v>
      </c>
      <c r="C5" s="123"/>
      <c r="D5" s="126"/>
      <c r="E5" s="126"/>
      <c r="F5" s="126"/>
      <c r="G5" s="329"/>
    </row>
    <row r="6" spans="2:7" x14ac:dyDescent="0.25">
      <c r="B6" s="856" t="s">
        <v>41</v>
      </c>
      <c r="C6" s="124" t="s">
        <v>69</v>
      </c>
      <c r="D6" s="800">
        <v>427</v>
      </c>
      <c r="E6" s="847">
        <f t="shared" ref="E6:E15" si="0">IF(ISERROR(D6/$D$16),"",D6/$D$16)</f>
        <v>5.6526343658988613E-2</v>
      </c>
      <c r="F6" s="604">
        <f>'5_Produccion_Desagregada_10_09'!C10</f>
        <v>1341</v>
      </c>
      <c r="G6" s="857">
        <f>IF(ISERROR(D6/F6),"",D6/F6)</f>
        <v>0.31841909023117076</v>
      </c>
    </row>
    <row r="7" spans="2:7" x14ac:dyDescent="0.25">
      <c r="B7" s="856" t="s">
        <v>42</v>
      </c>
      <c r="C7" s="124" t="s">
        <v>69</v>
      </c>
      <c r="D7" s="800">
        <v>272</v>
      </c>
      <c r="E7" s="847">
        <f t="shared" si="0"/>
        <v>3.6007413290971672E-2</v>
      </c>
      <c r="F7" s="604">
        <f>'5_Produccion_Desagregada_10_09'!C11</f>
        <v>1026</v>
      </c>
      <c r="G7" s="857">
        <f t="shared" ref="G7:G15" si="1">IF(ISERROR(D7/F7),"",D7/F7)</f>
        <v>0.26510721247563351</v>
      </c>
    </row>
    <row r="8" spans="2:7" x14ac:dyDescent="0.25">
      <c r="B8" s="856" t="s">
        <v>43</v>
      </c>
      <c r="C8" s="124" t="s">
        <v>69</v>
      </c>
      <c r="D8" s="800">
        <v>42</v>
      </c>
      <c r="E8" s="847">
        <f t="shared" si="0"/>
        <v>5.5599682287529786E-3</v>
      </c>
      <c r="F8" s="604">
        <f>'5_Produccion_Desagregada_10_09'!C12</f>
        <v>423</v>
      </c>
      <c r="G8" s="857">
        <f t="shared" si="1"/>
        <v>9.9290780141843976E-2</v>
      </c>
    </row>
    <row r="9" spans="2:7" x14ac:dyDescent="0.25">
      <c r="B9" s="856" t="s">
        <v>44</v>
      </c>
      <c r="C9" s="124" t="s">
        <v>69</v>
      </c>
      <c r="D9" s="800">
        <v>45</v>
      </c>
      <c r="E9" s="847">
        <f t="shared" si="0"/>
        <v>5.9571088165210487E-3</v>
      </c>
      <c r="F9" s="604">
        <f>'5_Produccion_Desagregada_10_09'!C13</f>
        <v>1452</v>
      </c>
      <c r="G9" s="857">
        <f t="shared" si="1"/>
        <v>3.0991735537190084E-2</v>
      </c>
    </row>
    <row r="10" spans="2:7" x14ac:dyDescent="0.25">
      <c r="B10" s="856" t="s">
        <v>45</v>
      </c>
      <c r="C10" s="124" t="s">
        <v>69</v>
      </c>
      <c r="D10" s="800">
        <v>234</v>
      </c>
      <c r="E10" s="847">
        <f t="shared" si="0"/>
        <v>3.0976965845909452E-2</v>
      </c>
      <c r="F10" s="604">
        <f>'5_Produccion_Desagregada_10_09'!C14</f>
        <v>1330</v>
      </c>
      <c r="G10" s="857">
        <f t="shared" si="1"/>
        <v>0.17593984962406015</v>
      </c>
    </row>
    <row r="11" spans="2:7" x14ac:dyDescent="0.25">
      <c r="B11" s="856" t="s">
        <v>46</v>
      </c>
      <c r="C11" s="124" t="s">
        <v>69</v>
      </c>
      <c r="D11" s="800">
        <v>65</v>
      </c>
      <c r="E11" s="847">
        <f t="shared" si="0"/>
        <v>8.6047127349748471E-3</v>
      </c>
      <c r="F11" s="604">
        <f>'5_Produccion_Desagregada_10_09'!C15</f>
        <v>353</v>
      </c>
      <c r="G11" s="857">
        <f t="shared" si="1"/>
        <v>0.18413597733711048</v>
      </c>
    </row>
    <row r="12" spans="2:7" x14ac:dyDescent="0.25">
      <c r="B12" s="856" t="s">
        <v>47</v>
      </c>
      <c r="C12" s="124" t="s">
        <v>69</v>
      </c>
      <c r="D12" s="800">
        <v>0</v>
      </c>
      <c r="E12" s="847">
        <f t="shared" si="0"/>
        <v>0</v>
      </c>
      <c r="F12" s="604">
        <f>'5_Produccion_Desagregada_10_09'!C16</f>
        <v>0</v>
      </c>
      <c r="G12" s="857" t="str">
        <f t="shared" si="1"/>
        <v/>
      </c>
    </row>
    <row r="13" spans="2:7" x14ac:dyDescent="0.25">
      <c r="B13" s="856" t="s">
        <v>48</v>
      </c>
      <c r="C13" s="124" t="s">
        <v>69</v>
      </c>
      <c r="D13" s="800">
        <v>0</v>
      </c>
      <c r="E13" s="847">
        <f t="shared" si="0"/>
        <v>0</v>
      </c>
      <c r="F13" s="604">
        <f>'5_Produccion_Desagregada_10_09'!C17</f>
        <v>0</v>
      </c>
      <c r="G13" s="857" t="str">
        <f t="shared" si="1"/>
        <v/>
      </c>
    </row>
    <row r="14" spans="2:7" x14ac:dyDescent="0.25">
      <c r="B14" s="328" t="s">
        <v>302</v>
      </c>
      <c r="C14" s="124" t="s">
        <v>69</v>
      </c>
      <c r="D14" s="800">
        <v>1831</v>
      </c>
      <c r="E14" s="847">
        <f t="shared" si="0"/>
        <v>0.24238813873444531</v>
      </c>
      <c r="F14" s="604">
        <f>'5_Produccion_Desagregada_10_09'!C6</f>
        <v>32189</v>
      </c>
      <c r="G14" s="857">
        <f t="shared" si="1"/>
        <v>5.6882786044922182E-2</v>
      </c>
    </row>
    <row r="15" spans="2:7" x14ac:dyDescent="0.25">
      <c r="B15" s="328" t="s">
        <v>72</v>
      </c>
      <c r="C15" s="124" t="s">
        <v>69</v>
      </c>
      <c r="D15" s="800">
        <v>4638</v>
      </c>
      <c r="E15" s="847">
        <f t="shared" si="0"/>
        <v>0.61397934868943604</v>
      </c>
      <c r="F15" s="604">
        <f>'5_Produccion_Desagregada_10_09'!C7</f>
        <v>20591</v>
      </c>
      <c r="G15" s="857">
        <f t="shared" si="1"/>
        <v>0.22524403865766596</v>
      </c>
    </row>
    <row r="16" spans="2:7" x14ac:dyDescent="0.25">
      <c r="B16" s="330" t="s">
        <v>33</v>
      </c>
      <c r="C16" s="327" t="s">
        <v>69</v>
      </c>
      <c r="D16" s="127">
        <f>SUM(D6:D15)</f>
        <v>7554</v>
      </c>
      <c r="E16" s="858">
        <f>SUM(E6:E15)</f>
        <v>1</v>
      </c>
      <c r="F16" s="859"/>
      <c r="G16" s="860"/>
    </row>
    <row r="17" spans="2:7" ht="25.5" x14ac:dyDescent="0.25">
      <c r="B17" s="136" t="s">
        <v>73</v>
      </c>
      <c r="C17" s="125" t="s">
        <v>74</v>
      </c>
      <c r="D17" s="125" t="str">
        <f>"Cantidad "&amp;C17&amp;" 2010"</f>
        <v>Cantidad Examen 2010</v>
      </c>
      <c r="E17" s="125" t="str">
        <f>"Porcentaje "&amp;C17&amp;" 2010"</f>
        <v>Porcentaje Examen 2010</v>
      </c>
      <c r="F17" s="125" t="s">
        <v>314</v>
      </c>
      <c r="G17" s="137" t="str">
        <f>C17&amp;" por Servicio Final"</f>
        <v>Examen por Servicio Final</v>
      </c>
    </row>
    <row r="18" spans="2:7" x14ac:dyDescent="0.25">
      <c r="B18" s="133" t="s">
        <v>70</v>
      </c>
      <c r="C18" s="120"/>
      <c r="D18" s="126"/>
      <c r="E18" s="126"/>
      <c r="F18" s="126"/>
      <c r="G18" s="329"/>
    </row>
    <row r="19" spans="2:7" x14ac:dyDescent="0.25">
      <c r="B19" s="861" t="s">
        <v>41</v>
      </c>
      <c r="C19" s="121" t="s">
        <v>74</v>
      </c>
      <c r="D19" s="800">
        <v>16674</v>
      </c>
      <c r="E19" s="862">
        <f t="shared" ref="E19:E28" si="2">IF(ISERROR(D19/$D$29),"",D19/$D$29)</f>
        <v>0.10610582582964778</v>
      </c>
      <c r="F19" s="604">
        <f>'5_Produccion_Desagregada_10_09'!C10</f>
        <v>1341</v>
      </c>
      <c r="G19" s="863">
        <f>IF(ISERROR(D19/F19),"",D19/F19)</f>
        <v>12.43400447427293</v>
      </c>
    </row>
    <row r="20" spans="2:7" x14ac:dyDescent="0.25">
      <c r="B20" s="861" t="s">
        <v>42</v>
      </c>
      <c r="C20" s="121" t="s">
        <v>74</v>
      </c>
      <c r="D20" s="800">
        <v>10309</v>
      </c>
      <c r="E20" s="862">
        <f t="shared" si="2"/>
        <v>6.5601832702281329E-2</v>
      </c>
      <c r="F20" s="604">
        <f>'5_Produccion_Desagregada_10_09'!C11</f>
        <v>1026</v>
      </c>
      <c r="G20" s="863">
        <f t="shared" ref="G20:G28" si="3">IF(ISERROR(D20/F20),"",D20/F20)</f>
        <v>10.047758284600389</v>
      </c>
    </row>
    <row r="21" spans="2:7" x14ac:dyDescent="0.25">
      <c r="B21" s="861" t="s">
        <v>43</v>
      </c>
      <c r="C21" s="121" t="s">
        <v>74</v>
      </c>
      <c r="D21" s="800">
        <v>2711</v>
      </c>
      <c r="E21" s="862">
        <f t="shared" si="2"/>
        <v>1.7251582932960006E-2</v>
      </c>
      <c r="F21" s="604">
        <f>'5_Produccion_Desagregada_10_09'!C12</f>
        <v>423</v>
      </c>
      <c r="G21" s="863">
        <f t="shared" si="3"/>
        <v>6.4089834515366428</v>
      </c>
    </row>
    <row r="22" spans="2:7" x14ac:dyDescent="0.25">
      <c r="B22" s="861" t="s">
        <v>44</v>
      </c>
      <c r="C22" s="121" t="s">
        <v>74</v>
      </c>
      <c r="D22" s="800">
        <v>5200</v>
      </c>
      <c r="E22" s="862">
        <f t="shared" si="2"/>
        <v>3.3090457857392855E-2</v>
      </c>
      <c r="F22" s="604">
        <f>'5_Produccion_Desagregada_10_09'!C13</f>
        <v>1452</v>
      </c>
      <c r="G22" s="863">
        <f>IF(ISERROR(D22/F22),"",D22/F22)</f>
        <v>3.5812672176308542</v>
      </c>
    </row>
    <row r="23" spans="2:7" x14ac:dyDescent="0.25">
      <c r="B23" s="861" t="s">
        <v>45</v>
      </c>
      <c r="C23" s="121" t="s">
        <v>74</v>
      </c>
      <c r="D23" s="800">
        <v>6958</v>
      </c>
      <c r="E23" s="862">
        <f t="shared" si="2"/>
        <v>4.4277578033026822E-2</v>
      </c>
      <c r="F23" s="604">
        <f>'5_Produccion_Desagregada_10_09'!C14</f>
        <v>1330</v>
      </c>
      <c r="G23" s="863">
        <f t="shared" si="3"/>
        <v>5.2315789473684209</v>
      </c>
    </row>
    <row r="24" spans="2:7" x14ac:dyDescent="0.25">
      <c r="B24" s="861" t="s">
        <v>46</v>
      </c>
      <c r="C24" s="121" t="s">
        <v>74</v>
      </c>
      <c r="D24" s="800">
        <v>3958</v>
      </c>
      <c r="E24" s="862">
        <f t="shared" si="2"/>
        <v>2.518692926914633E-2</v>
      </c>
      <c r="F24" s="604">
        <f>'5_Produccion_Desagregada_10_09'!C15</f>
        <v>353</v>
      </c>
      <c r="G24" s="863">
        <f t="shared" si="3"/>
        <v>11.212464589235127</v>
      </c>
    </row>
    <row r="25" spans="2:7" x14ac:dyDescent="0.25">
      <c r="B25" s="861" t="s">
        <v>47</v>
      </c>
      <c r="C25" s="121" t="s">
        <v>74</v>
      </c>
      <c r="D25" s="800"/>
      <c r="E25" s="862">
        <f t="shared" si="2"/>
        <v>0</v>
      </c>
      <c r="F25" s="604">
        <f>'5_Produccion_Desagregada_10_09'!C16</f>
        <v>0</v>
      </c>
      <c r="G25" s="863" t="str">
        <f t="shared" si="3"/>
        <v/>
      </c>
    </row>
    <row r="26" spans="2:7" x14ac:dyDescent="0.25">
      <c r="B26" s="861" t="s">
        <v>48</v>
      </c>
      <c r="C26" s="121" t="s">
        <v>74</v>
      </c>
      <c r="D26" s="800"/>
      <c r="E26" s="862">
        <f t="shared" si="2"/>
        <v>0</v>
      </c>
      <c r="F26" s="604">
        <f>'5_Produccion_Desagregada_10_09'!C17</f>
        <v>0</v>
      </c>
      <c r="G26" s="863" t="str">
        <f t="shared" si="3"/>
        <v/>
      </c>
    </row>
    <row r="27" spans="2:7" x14ac:dyDescent="0.25">
      <c r="B27" s="133" t="s">
        <v>302</v>
      </c>
      <c r="C27" s="121" t="s">
        <v>74</v>
      </c>
      <c r="D27" s="800">
        <v>75035</v>
      </c>
      <c r="E27" s="862">
        <f t="shared" si="2"/>
        <v>0.4774889433325909</v>
      </c>
      <c r="F27" s="604">
        <f>'5_Produccion_Desagregada_10_09'!C6</f>
        <v>32189</v>
      </c>
      <c r="G27" s="863">
        <f t="shared" si="3"/>
        <v>2.3310758333592223</v>
      </c>
    </row>
    <row r="28" spans="2:7" x14ac:dyDescent="0.25">
      <c r="B28" s="133" t="s">
        <v>72</v>
      </c>
      <c r="C28" s="121" t="s">
        <v>74</v>
      </c>
      <c r="D28" s="800">
        <v>36300</v>
      </c>
      <c r="E28" s="862">
        <f t="shared" si="2"/>
        <v>0.23099685004295395</v>
      </c>
      <c r="F28" s="604">
        <f>'5_Produccion_Desagregada_10_09'!C7</f>
        <v>20591</v>
      </c>
      <c r="G28" s="863">
        <f t="shared" si="3"/>
        <v>1.7629061240347725</v>
      </c>
    </row>
    <row r="29" spans="2:7" x14ac:dyDescent="0.25">
      <c r="B29" s="330" t="s">
        <v>33</v>
      </c>
      <c r="C29" s="327" t="s">
        <v>74</v>
      </c>
      <c r="D29" s="127">
        <f>SUM(D19:D28)</f>
        <v>157145</v>
      </c>
      <c r="E29" s="858">
        <f>SUM(E19:E28)</f>
        <v>1</v>
      </c>
      <c r="F29" s="859"/>
      <c r="G29" s="860"/>
    </row>
    <row r="30" spans="2:7" ht="38.25" x14ac:dyDescent="0.25">
      <c r="B30" s="136" t="s">
        <v>75</v>
      </c>
      <c r="C30" s="125" t="s">
        <v>76</v>
      </c>
      <c r="D30" s="125" t="str">
        <f>"Cantidad "&amp;C30&amp;" 2010"</f>
        <v>Cantidad Procedimientos AP 2010</v>
      </c>
      <c r="E30" s="125" t="str">
        <f>"Porcentaje "&amp;C30&amp;" 2010"</f>
        <v>Porcentaje Procedimientos AP 2010</v>
      </c>
      <c r="F30" s="125" t="s">
        <v>314</v>
      </c>
      <c r="G30" s="137" t="str">
        <f>C30&amp;" por Servicio Final"</f>
        <v>Procedimientos AP por Servicio Final</v>
      </c>
    </row>
    <row r="31" spans="2:7" x14ac:dyDescent="0.25">
      <c r="B31" s="133" t="s">
        <v>70</v>
      </c>
      <c r="C31" s="120"/>
      <c r="D31" s="126"/>
      <c r="E31" s="126"/>
      <c r="F31" s="126"/>
      <c r="G31" s="329"/>
    </row>
    <row r="32" spans="2:7" x14ac:dyDescent="0.25">
      <c r="B32" s="861" t="s">
        <v>41</v>
      </c>
      <c r="C32" s="121" t="s">
        <v>76</v>
      </c>
      <c r="D32" s="800"/>
      <c r="E32" s="847" t="str">
        <f t="shared" ref="E32:E41" si="4">IF(ISERROR(D32/$D$42),"",D32/$D$42)</f>
        <v/>
      </c>
      <c r="F32" s="604">
        <f>'5_Produccion_Desagregada_10_09'!C10</f>
        <v>1341</v>
      </c>
      <c r="G32" s="863">
        <f>IF(ISERROR(D32/F32),"",D32/F32)</f>
        <v>0</v>
      </c>
    </row>
    <row r="33" spans="2:7" x14ac:dyDescent="0.25">
      <c r="B33" s="861" t="s">
        <v>42</v>
      </c>
      <c r="C33" s="121" t="s">
        <v>76</v>
      </c>
      <c r="D33" s="800"/>
      <c r="E33" s="847" t="str">
        <f t="shared" si="4"/>
        <v/>
      </c>
      <c r="F33" s="604">
        <f>'5_Produccion_Desagregada_10_09'!C11</f>
        <v>1026</v>
      </c>
      <c r="G33" s="863">
        <f t="shared" ref="G33:G41" si="5">IF(ISERROR(D33/F33),"",D33/F33)</f>
        <v>0</v>
      </c>
    </row>
    <row r="34" spans="2:7" x14ac:dyDescent="0.25">
      <c r="B34" s="861" t="s">
        <v>43</v>
      </c>
      <c r="C34" s="121" t="s">
        <v>76</v>
      </c>
      <c r="D34" s="800"/>
      <c r="E34" s="847" t="str">
        <f t="shared" si="4"/>
        <v/>
      </c>
      <c r="F34" s="604">
        <f>'5_Produccion_Desagregada_10_09'!C12</f>
        <v>423</v>
      </c>
      <c r="G34" s="863">
        <f t="shared" si="5"/>
        <v>0</v>
      </c>
    </row>
    <row r="35" spans="2:7" x14ac:dyDescent="0.25">
      <c r="B35" s="861" t="s">
        <v>44</v>
      </c>
      <c r="C35" s="121" t="s">
        <v>76</v>
      </c>
      <c r="D35" s="800"/>
      <c r="E35" s="847" t="str">
        <f t="shared" si="4"/>
        <v/>
      </c>
      <c r="F35" s="604">
        <f>'5_Produccion_Desagregada_10_09'!C13</f>
        <v>1452</v>
      </c>
      <c r="G35" s="863">
        <f t="shared" si="5"/>
        <v>0</v>
      </c>
    </row>
    <row r="36" spans="2:7" x14ac:dyDescent="0.25">
      <c r="B36" s="861" t="s">
        <v>45</v>
      </c>
      <c r="C36" s="121" t="s">
        <v>76</v>
      </c>
      <c r="D36" s="800"/>
      <c r="E36" s="847" t="str">
        <f t="shared" si="4"/>
        <v/>
      </c>
      <c r="F36" s="604">
        <f>'5_Produccion_Desagregada_10_09'!C14</f>
        <v>1330</v>
      </c>
      <c r="G36" s="863">
        <f t="shared" si="5"/>
        <v>0</v>
      </c>
    </row>
    <row r="37" spans="2:7" x14ac:dyDescent="0.25">
      <c r="B37" s="861" t="s">
        <v>46</v>
      </c>
      <c r="C37" s="121" t="s">
        <v>76</v>
      </c>
      <c r="D37" s="800"/>
      <c r="E37" s="847" t="str">
        <f t="shared" si="4"/>
        <v/>
      </c>
      <c r="F37" s="604">
        <f>'5_Produccion_Desagregada_10_09'!C15</f>
        <v>353</v>
      </c>
      <c r="G37" s="863">
        <f t="shared" si="5"/>
        <v>0</v>
      </c>
    </row>
    <row r="38" spans="2:7" x14ac:dyDescent="0.25">
      <c r="B38" s="861" t="s">
        <v>47</v>
      </c>
      <c r="C38" s="121" t="s">
        <v>76</v>
      </c>
      <c r="D38" s="800"/>
      <c r="E38" s="847" t="str">
        <f t="shared" si="4"/>
        <v/>
      </c>
      <c r="F38" s="604">
        <f>'5_Produccion_Desagregada_10_09'!C16</f>
        <v>0</v>
      </c>
      <c r="G38" s="863" t="str">
        <f t="shared" si="5"/>
        <v/>
      </c>
    </row>
    <row r="39" spans="2:7" x14ac:dyDescent="0.25">
      <c r="B39" s="861" t="s">
        <v>48</v>
      </c>
      <c r="C39" s="121" t="s">
        <v>76</v>
      </c>
      <c r="D39" s="800"/>
      <c r="E39" s="847" t="str">
        <f t="shared" si="4"/>
        <v/>
      </c>
      <c r="F39" s="604">
        <f>'5_Produccion_Desagregada_10_09'!C17</f>
        <v>0</v>
      </c>
      <c r="G39" s="863" t="str">
        <f t="shared" si="5"/>
        <v/>
      </c>
    </row>
    <row r="40" spans="2:7" x14ac:dyDescent="0.25">
      <c r="B40" s="133" t="s">
        <v>302</v>
      </c>
      <c r="C40" s="121" t="s">
        <v>76</v>
      </c>
      <c r="D40" s="800"/>
      <c r="E40" s="847" t="str">
        <f t="shared" si="4"/>
        <v/>
      </c>
      <c r="F40" s="604">
        <f>'5_Produccion_Desagregada_10_09'!C6</f>
        <v>32189</v>
      </c>
      <c r="G40" s="863">
        <f t="shared" si="5"/>
        <v>0</v>
      </c>
    </row>
    <row r="41" spans="2:7" x14ac:dyDescent="0.25">
      <c r="B41" s="133" t="s">
        <v>72</v>
      </c>
      <c r="C41" s="121" t="s">
        <v>76</v>
      </c>
      <c r="D41" s="800"/>
      <c r="E41" s="847" t="str">
        <f t="shared" si="4"/>
        <v/>
      </c>
      <c r="F41" s="604">
        <f>'5_Produccion_Desagregada_10_09'!C7</f>
        <v>20591</v>
      </c>
      <c r="G41" s="863">
        <f t="shared" si="5"/>
        <v>0</v>
      </c>
    </row>
    <row r="42" spans="2:7" x14ac:dyDescent="0.25">
      <c r="B42" s="330" t="s">
        <v>33</v>
      </c>
      <c r="C42" s="327" t="s">
        <v>77</v>
      </c>
      <c r="D42" s="127">
        <f>SUM(D32:D41)</f>
        <v>0</v>
      </c>
      <c r="E42" s="858">
        <f>SUM(E32:E41)</f>
        <v>0</v>
      </c>
      <c r="F42" s="859"/>
      <c r="G42" s="860"/>
    </row>
    <row r="43" spans="2:7" ht="38.25" x14ac:dyDescent="0.25">
      <c r="B43" s="136" t="s">
        <v>78</v>
      </c>
      <c r="C43" s="125" t="s">
        <v>79</v>
      </c>
      <c r="D43" s="125" t="str">
        <f>"Cantidad "&amp;C43&amp;" 2010"</f>
        <v>Cantidad Unidades de Sangre 2010</v>
      </c>
      <c r="E43" s="125" t="str">
        <f>"Porcentaje "&amp;C43&amp;" 2010"</f>
        <v>Porcentaje Unidades de Sangre 2010</v>
      </c>
      <c r="F43" s="125" t="s">
        <v>314</v>
      </c>
      <c r="G43" s="137" t="str">
        <f>C43&amp;" por Servicio Final"</f>
        <v>Unidades de Sangre por Servicio Final</v>
      </c>
    </row>
    <row r="44" spans="2:7" x14ac:dyDescent="0.25">
      <c r="B44" s="133" t="s">
        <v>70</v>
      </c>
      <c r="C44" s="120"/>
      <c r="D44" s="126"/>
      <c r="E44" s="126"/>
      <c r="F44" s="126"/>
      <c r="G44" s="329"/>
    </row>
    <row r="45" spans="2:7" x14ac:dyDescent="0.25">
      <c r="B45" s="861" t="s">
        <v>41</v>
      </c>
      <c r="C45" s="121" t="s">
        <v>79</v>
      </c>
      <c r="D45" s="800">
        <v>143</v>
      </c>
      <c r="E45" s="847">
        <f t="shared" ref="E45:E54" si="6">IF(ISERROR(D45/$D$55),"",D45/$D$55)</f>
        <v>0.44968553459119498</v>
      </c>
      <c r="F45" s="604">
        <f>'5_Produccion_Desagregada_10_09'!C10</f>
        <v>1341</v>
      </c>
      <c r="G45" s="863">
        <f>IF(ISERROR(D45/F45),"",D45/F45)</f>
        <v>0.10663683818046234</v>
      </c>
    </row>
    <row r="46" spans="2:7" x14ac:dyDescent="0.25">
      <c r="B46" s="861" t="s">
        <v>42</v>
      </c>
      <c r="C46" s="121" t="s">
        <v>79</v>
      </c>
      <c r="D46" s="800">
        <v>73</v>
      </c>
      <c r="E46" s="847">
        <f t="shared" si="6"/>
        <v>0.22955974842767296</v>
      </c>
      <c r="F46" s="604">
        <f>'5_Produccion_Desagregada_10_09'!C11</f>
        <v>1026</v>
      </c>
      <c r="G46" s="863">
        <f t="shared" ref="G46:G54" si="7">IF(ISERROR(D46/F46),"",D46/F46)</f>
        <v>7.1150097465886936E-2</v>
      </c>
    </row>
    <row r="47" spans="2:7" x14ac:dyDescent="0.25">
      <c r="B47" s="861" t="s">
        <v>43</v>
      </c>
      <c r="C47" s="121" t="s">
        <v>79</v>
      </c>
      <c r="D47" s="800">
        <v>59</v>
      </c>
      <c r="E47" s="847">
        <f t="shared" si="6"/>
        <v>0.18553459119496854</v>
      </c>
      <c r="F47" s="604">
        <f>'5_Produccion_Desagregada_10_09'!C12</f>
        <v>423</v>
      </c>
      <c r="G47" s="863">
        <f t="shared" si="7"/>
        <v>0.13947990543735225</v>
      </c>
    </row>
    <row r="48" spans="2:7" x14ac:dyDescent="0.25">
      <c r="B48" s="861" t="s">
        <v>44</v>
      </c>
      <c r="C48" s="121" t="s">
        <v>79</v>
      </c>
      <c r="D48" s="800">
        <v>39</v>
      </c>
      <c r="E48" s="847">
        <f t="shared" si="6"/>
        <v>0.12264150943396226</v>
      </c>
      <c r="F48" s="604">
        <f>'5_Produccion_Desagregada_10_09'!C13</f>
        <v>1452</v>
      </c>
      <c r="G48" s="863">
        <f t="shared" si="7"/>
        <v>2.6859504132231406E-2</v>
      </c>
    </row>
    <row r="49" spans="2:7" x14ac:dyDescent="0.25">
      <c r="B49" s="861" t="s">
        <v>45</v>
      </c>
      <c r="C49" s="121" t="s">
        <v>79</v>
      </c>
      <c r="D49" s="800">
        <v>4</v>
      </c>
      <c r="E49" s="847">
        <f t="shared" si="6"/>
        <v>1.2578616352201259E-2</v>
      </c>
      <c r="F49" s="604">
        <f>'5_Produccion_Desagregada_10_09'!C14</f>
        <v>1330</v>
      </c>
      <c r="G49" s="863">
        <f t="shared" si="7"/>
        <v>3.0075187969924814E-3</v>
      </c>
    </row>
    <row r="50" spans="2:7" x14ac:dyDescent="0.25">
      <c r="B50" s="861" t="s">
        <v>46</v>
      </c>
      <c r="C50" s="121" t="s">
        <v>79</v>
      </c>
      <c r="D50" s="800"/>
      <c r="E50" s="847">
        <f t="shared" si="6"/>
        <v>0</v>
      </c>
      <c r="F50" s="604">
        <f>'5_Produccion_Desagregada_10_09'!C15</f>
        <v>353</v>
      </c>
      <c r="G50" s="863">
        <f t="shared" si="7"/>
        <v>0</v>
      </c>
    </row>
    <row r="51" spans="2:7" x14ac:dyDescent="0.25">
      <c r="B51" s="861" t="s">
        <v>47</v>
      </c>
      <c r="C51" s="121" t="s">
        <v>79</v>
      </c>
      <c r="D51" s="800"/>
      <c r="E51" s="847">
        <f t="shared" si="6"/>
        <v>0</v>
      </c>
      <c r="F51" s="604">
        <f>'5_Produccion_Desagregada_10_09'!C16</f>
        <v>0</v>
      </c>
      <c r="G51" s="863" t="str">
        <f t="shared" si="7"/>
        <v/>
      </c>
    </row>
    <row r="52" spans="2:7" x14ac:dyDescent="0.25">
      <c r="B52" s="861" t="s">
        <v>48</v>
      </c>
      <c r="C52" s="121" t="s">
        <v>79</v>
      </c>
      <c r="D52" s="800"/>
      <c r="E52" s="847">
        <f t="shared" si="6"/>
        <v>0</v>
      </c>
      <c r="F52" s="604">
        <f>'5_Produccion_Desagregada_10_09'!C17</f>
        <v>0</v>
      </c>
      <c r="G52" s="863" t="str">
        <f t="shared" si="7"/>
        <v/>
      </c>
    </row>
    <row r="53" spans="2:7" x14ac:dyDescent="0.25">
      <c r="B53" s="133" t="s">
        <v>302</v>
      </c>
      <c r="C53" s="121" t="s">
        <v>79</v>
      </c>
      <c r="D53" s="800"/>
      <c r="E53" s="847">
        <f t="shared" si="6"/>
        <v>0</v>
      </c>
      <c r="F53" s="604">
        <f>'5_Produccion_Desagregada_10_09'!C6</f>
        <v>32189</v>
      </c>
      <c r="G53" s="863">
        <f t="shared" si="7"/>
        <v>0</v>
      </c>
    </row>
    <row r="54" spans="2:7" x14ac:dyDescent="0.25">
      <c r="B54" s="133" t="s">
        <v>72</v>
      </c>
      <c r="C54" s="121" t="s">
        <v>79</v>
      </c>
      <c r="D54" s="800"/>
      <c r="E54" s="847">
        <f t="shared" si="6"/>
        <v>0</v>
      </c>
      <c r="F54" s="604">
        <f>'5_Produccion_Desagregada_10_09'!C7</f>
        <v>20591</v>
      </c>
      <c r="G54" s="863">
        <f t="shared" si="7"/>
        <v>0</v>
      </c>
    </row>
    <row r="55" spans="2:7" x14ac:dyDescent="0.25">
      <c r="B55" s="330" t="s">
        <v>33</v>
      </c>
      <c r="C55" s="327" t="s">
        <v>79</v>
      </c>
      <c r="D55" s="127">
        <f>SUM(D45:D54)</f>
        <v>318</v>
      </c>
      <c r="E55" s="858">
        <f>SUM(E45:E54)</f>
        <v>1</v>
      </c>
      <c r="F55" s="859"/>
      <c r="G55" s="860"/>
    </row>
    <row r="56" spans="2:7" ht="51" x14ac:dyDescent="0.25">
      <c r="B56" s="136" t="s">
        <v>80</v>
      </c>
      <c r="C56" s="125" t="s">
        <v>81</v>
      </c>
      <c r="D56" s="125" t="str">
        <f>"Cantidad "&amp;C56&amp;" 2010"</f>
        <v>Cantidad Recetas Despachadas 2010</v>
      </c>
      <c r="E56" s="125" t="str">
        <f>"Porcentaje "&amp;C56&amp;" 2010"</f>
        <v>Porcentaje Recetas Despachadas 2010</v>
      </c>
      <c r="F56" s="125" t="s">
        <v>314</v>
      </c>
      <c r="G56" s="137" t="str">
        <f>C56&amp;" por Servicio Final"</f>
        <v>Recetas Despachadas por Servicio Final</v>
      </c>
    </row>
    <row r="57" spans="2:7" x14ac:dyDescent="0.25">
      <c r="B57" s="133" t="s">
        <v>70</v>
      </c>
      <c r="C57" s="120"/>
      <c r="D57" s="126"/>
      <c r="E57" s="126"/>
      <c r="F57" s="126"/>
      <c r="G57" s="329"/>
    </row>
    <row r="58" spans="2:7" x14ac:dyDescent="0.25">
      <c r="B58" s="861" t="s">
        <v>41</v>
      </c>
      <c r="C58" s="121" t="s">
        <v>81</v>
      </c>
      <c r="D58" s="800">
        <v>16651</v>
      </c>
      <c r="E58" s="847">
        <f t="shared" ref="E58:E67" si="8">IF(ISERROR(D58/$D$68),"",D58/$D$68)</f>
        <v>7.3263022655174079E-2</v>
      </c>
      <c r="F58" s="604">
        <f>'5_Produccion_Desagregada_10_09'!C10</f>
        <v>1341</v>
      </c>
      <c r="G58" s="863">
        <f>IF(ISERROR(D58/F58),"",D58/F58)</f>
        <v>12.416853094705443</v>
      </c>
    </row>
    <row r="59" spans="2:7" x14ac:dyDescent="0.25">
      <c r="B59" s="861" t="s">
        <v>42</v>
      </c>
      <c r="C59" s="121" t="s">
        <v>81</v>
      </c>
      <c r="D59" s="800">
        <v>13252</v>
      </c>
      <c r="E59" s="847">
        <f t="shared" si="8"/>
        <v>5.8307703815168276E-2</v>
      </c>
      <c r="F59" s="604">
        <f>'5_Produccion_Desagregada_10_09'!C11</f>
        <v>1026</v>
      </c>
      <c r="G59" s="863">
        <f t="shared" ref="G59:G67" si="9">IF(ISERROR(D59/F59),"",D59/F59)</f>
        <v>12.916179337231968</v>
      </c>
    </row>
    <row r="60" spans="2:7" x14ac:dyDescent="0.25">
      <c r="B60" s="861" t="s">
        <v>43</v>
      </c>
      <c r="C60" s="121" t="s">
        <v>81</v>
      </c>
      <c r="D60" s="800">
        <v>2776</v>
      </c>
      <c r="E60" s="847">
        <f t="shared" si="8"/>
        <v>1.2214170373596976E-2</v>
      </c>
      <c r="F60" s="604">
        <f>'5_Produccion_Desagregada_10_09'!C12</f>
        <v>423</v>
      </c>
      <c r="G60" s="863">
        <f t="shared" si="9"/>
        <v>6.5626477541371155</v>
      </c>
    </row>
    <row r="61" spans="2:7" x14ac:dyDescent="0.25">
      <c r="B61" s="861" t="s">
        <v>44</v>
      </c>
      <c r="C61" s="121" t="s">
        <v>81</v>
      </c>
      <c r="D61" s="597">
        <v>11158</v>
      </c>
      <c r="E61" s="847">
        <f t="shared" si="8"/>
        <v>4.9094277027591879E-2</v>
      </c>
      <c r="F61" s="604">
        <f>'5_Produccion_Desagregada_10_09'!C13</f>
        <v>1452</v>
      </c>
      <c r="G61" s="863">
        <f t="shared" si="9"/>
        <v>7.6845730027548207</v>
      </c>
    </row>
    <row r="62" spans="2:7" x14ac:dyDescent="0.25">
      <c r="B62" s="861" t="s">
        <v>45</v>
      </c>
      <c r="C62" s="121" t="s">
        <v>81</v>
      </c>
      <c r="D62" s="800">
        <v>5909</v>
      </c>
      <c r="E62" s="847">
        <f t="shared" si="8"/>
        <v>2.5999111216709125E-2</v>
      </c>
      <c r="F62" s="604">
        <f>'5_Produccion_Desagregada_10_09'!C14</f>
        <v>1330</v>
      </c>
      <c r="G62" s="863">
        <f t="shared" si="9"/>
        <v>4.4428571428571431</v>
      </c>
    </row>
    <row r="63" spans="2:7" x14ac:dyDescent="0.25">
      <c r="B63" s="861" t="s">
        <v>46</v>
      </c>
      <c r="C63" s="121" t="s">
        <v>81</v>
      </c>
      <c r="D63" s="800">
        <v>920</v>
      </c>
      <c r="E63" s="847">
        <f t="shared" si="8"/>
        <v>4.0479238990306981E-3</v>
      </c>
      <c r="F63" s="604">
        <f>'5_Produccion_Desagregada_10_09'!C15</f>
        <v>353</v>
      </c>
      <c r="G63" s="863">
        <f t="shared" si="9"/>
        <v>2.6062322946175636</v>
      </c>
    </row>
    <row r="64" spans="2:7" x14ac:dyDescent="0.25">
      <c r="B64" s="861" t="s">
        <v>47</v>
      </c>
      <c r="C64" s="121" t="s">
        <v>81</v>
      </c>
      <c r="D64" s="800">
        <v>0</v>
      </c>
      <c r="E64" s="847">
        <f t="shared" si="8"/>
        <v>0</v>
      </c>
      <c r="F64" s="604">
        <f>'5_Produccion_Desagregada_10_09'!C16</f>
        <v>0</v>
      </c>
      <c r="G64" s="863" t="str">
        <f t="shared" si="9"/>
        <v/>
      </c>
    </row>
    <row r="65" spans="2:7" x14ac:dyDescent="0.25">
      <c r="B65" s="861" t="s">
        <v>48</v>
      </c>
      <c r="C65" s="121" t="s">
        <v>81</v>
      </c>
      <c r="D65" s="800">
        <v>0</v>
      </c>
      <c r="E65" s="847">
        <f t="shared" si="8"/>
        <v>0</v>
      </c>
      <c r="F65" s="604">
        <f>'5_Produccion_Desagregada_10_09'!C17</f>
        <v>0</v>
      </c>
      <c r="G65" s="863" t="str">
        <f t="shared" si="9"/>
        <v/>
      </c>
    </row>
    <row r="66" spans="2:7" x14ac:dyDescent="0.25">
      <c r="B66" s="133" t="s">
        <v>302</v>
      </c>
      <c r="C66" s="121" t="s">
        <v>81</v>
      </c>
      <c r="D66" s="800">
        <v>138149</v>
      </c>
      <c r="E66" s="847">
        <f t="shared" si="8"/>
        <v>0.60784417252955647</v>
      </c>
      <c r="F66" s="604">
        <f>'5_Produccion_Desagregada_10_09'!C6</f>
        <v>32189</v>
      </c>
      <c r="G66" s="863">
        <f t="shared" si="9"/>
        <v>4.2918077604150486</v>
      </c>
    </row>
    <row r="67" spans="2:7" x14ac:dyDescent="0.25">
      <c r="B67" s="133" t="s">
        <v>72</v>
      </c>
      <c r="C67" s="121" t="s">
        <v>81</v>
      </c>
      <c r="D67" s="800">
        <v>38462</v>
      </c>
      <c r="E67" s="847">
        <f t="shared" si="8"/>
        <v>0.16922961848317253</v>
      </c>
      <c r="F67" s="604">
        <f>'5_Produccion_Desagregada_10_09'!C7</f>
        <v>20591</v>
      </c>
      <c r="G67" s="863">
        <f t="shared" si="9"/>
        <v>1.8679034529648875</v>
      </c>
    </row>
    <row r="68" spans="2:7" ht="15.75" thickBot="1" x14ac:dyDescent="0.3">
      <c r="B68" s="331" t="s">
        <v>33</v>
      </c>
      <c r="C68" s="332" t="s">
        <v>79</v>
      </c>
      <c r="D68" s="333">
        <f>SUM(D58:D67)</f>
        <v>227277</v>
      </c>
      <c r="E68" s="864">
        <f>SUM(E58:E67)</f>
        <v>1</v>
      </c>
      <c r="F68" s="865"/>
      <c r="G68" s="866"/>
    </row>
    <row r="69" spans="2:7" x14ac:dyDescent="0.25">
      <c r="D69" s="119"/>
    </row>
    <row r="70" spans="2:7" x14ac:dyDescent="0.25">
      <c r="B70" s="122" t="s">
        <v>315</v>
      </c>
      <c r="D70" s="119"/>
    </row>
  </sheetData>
  <sheetProtection password="EADF" sheet="1" objects="1" scenarios="1"/>
  <mergeCells count="1">
    <mergeCell ref="F3:G3"/>
  </mergeCells>
  <phoneticPr fontId="60" type="noConversion"/>
  <pageMargins left="0.70866141732283472" right="0.70866141732283472" top="0.74803149606299213" bottom="0.74803149606299213" header="0.31496062992125984" footer="0.31496062992125984"/>
  <pageSetup orientation="landscape" r:id="rId1"/>
  <rowBreaks count="1" manualBreakCount="1">
    <brk id="5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26</vt:i4>
      </vt:variant>
      <vt:variant>
        <vt:lpstr>Rangos con nombre</vt:lpstr>
      </vt:variant>
      <vt:variant>
        <vt:i4>23</vt:i4>
      </vt:variant>
    </vt:vector>
  </HeadingPairs>
  <TitlesOfParts>
    <vt:vector size="49" baseType="lpstr">
      <vt:lpstr>A-Informacion_General</vt:lpstr>
      <vt:lpstr>B-Org._y_Func.</vt:lpstr>
      <vt:lpstr>C-Justificacion</vt:lpstr>
      <vt:lpstr>D-Poblacion_Censo-Proyeccion</vt:lpstr>
      <vt:lpstr>2_Atenciones_CapCIE_10-10</vt:lpstr>
      <vt:lpstr>3_Diez_Primeras_Causas_10</vt:lpstr>
      <vt:lpstr>4_Comportamiento_Produccion</vt:lpstr>
      <vt:lpstr>5_Produccion_Desagregada_10_09</vt:lpstr>
      <vt:lpstr>6_Prod_Scios_Intermedios_10</vt:lpstr>
      <vt:lpstr>7_Prod_Scios_Grales_10</vt:lpstr>
      <vt:lpstr>8_Inform_Camas_Quirof_Consul</vt:lpstr>
      <vt:lpstr>9_Inform_Gral_RRHH</vt:lpstr>
      <vt:lpstr>10_Distribucion_RRHH</vt:lpstr>
      <vt:lpstr>11_Inform_Gral_Presupuesto</vt:lpstr>
      <vt:lpstr>12_Indic_Gestion_Scios</vt:lpstr>
      <vt:lpstr>13_Normas_Programacion</vt:lpstr>
      <vt:lpstr>14_Produc_Rend_Cons_Cgia_10</vt:lpstr>
      <vt:lpstr>15_Produc_Rendi_Hosp_10</vt:lpstr>
      <vt:lpstr>16. Produc Rend Scio MD 10</vt:lpstr>
      <vt:lpstr>17_Prog_Produc_2011</vt:lpstr>
      <vt:lpstr>18_Prog_Scios_Intermedios</vt:lpstr>
      <vt:lpstr>19_Prog_Scios_Grales</vt:lpstr>
      <vt:lpstr>20_Prog_Gestion_Scios</vt:lpstr>
      <vt:lpstr>E-Consolidado_Prog</vt:lpstr>
      <vt:lpstr>F-Programacion_Proy_Espec</vt:lpstr>
      <vt:lpstr>G-Evaluacion</vt:lpstr>
      <vt:lpstr>'16. Produc Rend Scio MD 10'!Área_de_impresión</vt:lpstr>
      <vt:lpstr>'6_Prod_Scios_Intermedios_10'!Área_de_impresión</vt:lpstr>
      <vt:lpstr>'8_Inform_Camas_Quirof_Consul'!Área_de_impresión</vt:lpstr>
      <vt:lpstr>'A-Informacion_General'!Área_de_impresión</vt:lpstr>
      <vt:lpstr>'B-Org._y_Func.'!Área_de_impresión</vt:lpstr>
      <vt:lpstr>'C-Justificacion'!Área_de_impresión</vt:lpstr>
      <vt:lpstr>'D-Poblacion_Censo-Proyeccion'!Área_de_impresión</vt:lpstr>
      <vt:lpstr>'F-Programacion_Proy_Espec'!Área_de_impresión</vt:lpstr>
      <vt:lpstr>'G-Evaluacion'!Área_de_impresión</vt:lpstr>
      <vt:lpstr>'10_Distribucion_RRHH'!Títulos_a_imprimir</vt:lpstr>
      <vt:lpstr>'11_Inform_Gral_Presupuesto'!Títulos_a_imprimir</vt:lpstr>
      <vt:lpstr>'13_Normas_Programacion'!Títulos_a_imprimir</vt:lpstr>
      <vt:lpstr>'15_Produc_Rendi_Hosp_10'!Títulos_a_imprimir</vt:lpstr>
      <vt:lpstr>'16. Produc Rend Scio MD 10'!Títulos_a_imprimir</vt:lpstr>
      <vt:lpstr>'18_Prog_Scios_Intermedios'!Títulos_a_imprimir</vt:lpstr>
      <vt:lpstr>'19_Prog_Scios_Grales'!Títulos_a_imprimir</vt:lpstr>
      <vt:lpstr>'4_Comportamiento_Produccion'!Títulos_a_imprimir</vt:lpstr>
      <vt:lpstr>'6_Prod_Scios_Intermedios_10'!Títulos_a_imprimir</vt:lpstr>
      <vt:lpstr>'7_Prod_Scios_Grales_10'!Títulos_a_imprimir</vt:lpstr>
      <vt:lpstr>'9_Inform_Gral_RRHH'!Títulos_a_imprimir</vt:lpstr>
      <vt:lpstr>'B-Org._y_Func.'!Títulos_a_imprimir</vt:lpstr>
      <vt:lpstr>'E-Consolidado_Prog'!Títulos_a_imprimir</vt:lpstr>
      <vt:lpstr>'F-Programacion_Proy_Espec'!Títulos_a_imprimir</vt:lpstr>
    </vt:vector>
  </TitlesOfParts>
  <Company>mspas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Miguelin</dc:creator>
  <cp:lastModifiedBy>LP12</cp:lastModifiedBy>
  <cp:lastPrinted>2012-01-26T13:46:49Z</cp:lastPrinted>
  <dcterms:created xsi:type="dcterms:W3CDTF">2011-02-08T14:43:59Z</dcterms:created>
  <dcterms:modified xsi:type="dcterms:W3CDTF">2012-04-20T21:04:56Z</dcterms:modified>
</cp:coreProperties>
</file>